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defaultThemeVersion="166925"/>
  <mc:AlternateContent xmlns:mc="http://schemas.openxmlformats.org/markup-compatibility/2006">
    <mc:Choice Requires="x15">
      <x15ac:absPath xmlns:x15ac="http://schemas.microsoft.com/office/spreadsheetml/2010/11/ac" url="https://aemocloud-my.sharepoint.com/personal/paul_johnson2_aemo_com_au/Documents/Stakeholder Issues/Frequency Performance Payments (FPP)/"/>
    </mc:Choice>
  </mc:AlternateContent>
  <xr:revisionPtr revIDLastSave="0" documentId="8_{8B1093FE-689F-4F99-A732-BE8E5D020B30}" xr6:coauthVersionLast="47" xr6:coauthVersionMax="47" xr10:uidLastSave="{00000000-0000-0000-0000-000000000000}"/>
  <bookViews>
    <workbookView xWindow="-110" yWindow="-110" windowWidth="19420" windowHeight="10560" xr2:uid="{547219E2-7663-42BF-B5DF-6E51B6E3D637}"/>
  </bookViews>
  <sheets>
    <sheet name="Introduction" sheetId="9" r:id="rId1"/>
    <sheet name="Glossary" sheetId="7" r:id="rId2"/>
    <sheet name="Input data" sheetId="1" r:id="rId3"/>
    <sheet name="Initial calculations" sheetId="2" r:id="rId4"/>
    <sheet name="FPP" sheetId="3" r:id="rId5"/>
    <sheet name="Used Reg recovery" sheetId="4" r:id="rId6"/>
    <sheet name="Unused Reg recovery" sheetId="5" r:id="rId7"/>
    <sheet name="Total payments of units"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D8" i="2"/>
  <c r="C8" i="2"/>
  <c r="G13" i="8"/>
  <c r="J13" i="8"/>
  <c r="D13" i="8"/>
  <c r="G11" i="8"/>
  <c r="J12" i="8"/>
  <c r="D10" i="8"/>
  <c r="G5" i="8"/>
  <c r="G6" i="8"/>
  <c r="G4" i="8"/>
  <c r="J5" i="8"/>
  <c r="J6" i="8"/>
  <c r="J7" i="8"/>
  <c r="J8" i="8"/>
  <c r="J9" i="8"/>
  <c r="J4" i="8"/>
  <c r="D5" i="8"/>
  <c r="D6" i="8"/>
  <c r="D7" i="8"/>
  <c r="D8" i="8"/>
  <c r="D9" i="8"/>
  <c r="D4" i="8"/>
  <c r="P12" i="5"/>
  <c r="P11" i="5"/>
  <c r="P10" i="5"/>
  <c r="Q10" i="5" s="1"/>
  <c r="P9" i="5"/>
  <c r="P8" i="5"/>
  <c r="P7" i="5"/>
  <c r="P6" i="5"/>
  <c r="J9" i="5"/>
  <c r="J8" i="5"/>
  <c r="K8" i="5" s="1"/>
  <c r="J7" i="5"/>
  <c r="K3" i="5" s="1"/>
  <c r="J6" i="5"/>
  <c r="D12" i="5"/>
  <c r="D11" i="5"/>
  <c r="D10" i="5"/>
  <c r="E10" i="5" s="1"/>
  <c r="D9" i="5"/>
  <c r="D8" i="5"/>
  <c r="E8" i="5" s="1"/>
  <c r="D7" i="5"/>
  <c r="D6" i="5"/>
  <c r="K8" i="2"/>
  <c r="J8" i="2"/>
  <c r="K4" i="2"/>
  <c r="J4" i="2"/>
  <c r="D4" i="2"/>
  <c r="C4" i="2"/>
  <c r="K3" i="2"/>
  <c r="J3" i="2"/>
  <c r="M3" i="2" s="1"/>
  <c r="D3" i="2"/>
  <c r="C3" i="2"/>
  <c r="P14" i="3"/>
  <c r="P13" i="3"/>
  <c r="P12" i="3"/>
  <c r="P11" i="3"/>
  <c r="P10" i="3"/>
  <c r="P9" i="3"/>
  <c r="P8" i="3"/>
  <c r="J11" i="3"/>
  <c r="J10" i="3"/>
  <c r="J9" i="3"/>
  <c r="J8" i="3"/>
  <c r="D14" i="3"/>
  <c r="D13" i="3"/>
  <c r="D12" i="3"/>
  <c r="D11" i="3"/>
  <c r="D10" i="3"/>
  <c r="D9" i="3"/>
  <c r="D8" i="3"/>
  <c r="E3" i="2" l="1"/>
  <c r="M8" i="2"/>
  <c r="E3" i="5"/>
  <c r="E7" i="5" s="1"/>
  <c r="F7" i="5" s="1"/>
  <c r="F5" i="8" s="1"/>
  <c r="Q3" i="5"/>
  <c r="Q7" i="5" s="1"/>
  <c r="R7" i="5" s="1"/>
  <c r="L5" i="8" s="1"/>
  <c r="F8" i="5"/>
  <c r="F6" i="8" s="1"/>
  <c r="F10" i="5"/>
  <c r="F8" i="8" s="1"/>
  <c r="R10" i="5"/>
  <c r="L8" i="8" s="1"/>
  <c r="L8" i="5"/>
  <c r="I6" i="8" s="1"/>
  <c r="K6" i="5"/>
  <c r="L6" i="5" s="1"/>
  <c r="I4" i="8" s="1"/>
  <c r="K7" i="5"/>
  <c r="L7" i="5" s="1"/>
  <c r="I5" i="8" s="1"/>
  <c r="K9" i="5"/>
  <c r="L9" i="5" s="1"/>
  <c r="I11" i="8" s="1"/>
  <c r="M4" i="2"/>
  <c r="E4" i="2"/>
  <c r="L4" i="2"/>
  <c r="L3" i="2"/>
  <c r="L8" i="2"/>
  <c r="P4" i="3"/>
  <c r="Q9" i="3" s="1"/>
  <c r="R9" i="3" s="1"/>
  <c r="J4" i="3"/>
  <c r="K8" i="3" s="1"/>
  <c r="L8" i="3" s="1"/>
  <c r="P5" i="3"/>
  <c r="Q12" i="3" s="1"/>
  <c r="R12" i="3" s="1"/>
  <c r="D5" i="3"/>
  <c r="E9" i="3" s="1"/>
  <c r="F9" i="3" s="1"/>
  <c r="J5" i="3"/>
  <c r="K9" i="3" s="1"/>
  <c r="D4" i="3"/>
  <c r="E8" i="3" s="1"/>
  <c r="I13" i="8" l="1"/>
  <c r="Q9" i="5"/>
  <c r="R9" i="5" s="1"/>
  <c r="L7" i="8" s="1"/>
  <c r="L10" i="5"/>
  <c r="Q8" i="5"/>
  <c r="R8" i="5" s="1"/>
  <c r="L6" i="8" s="1"/>
  <c r="Q11" i="5"/>
  <c r="R11" i="5" s="1"/>
  <c r="L9" i="8" s="1"/>
  <c r="Q12" i="5"/>
  <c r="R12" i="5" s="1"/>
  <c r="L12" i="8" s="1"/>
  <c r="E11" i="5"/>
  <c r="F11" i="5" s="1"/>
  <c r="F9" i="8" s="1"/>
  <c r="Q6" i="5"/>
  <c r="R6" i="5" s="1"/>
  <c r="L4" i="8" s="1"/>
  <c r="E12" i="5"/>
  <c r="F12" i="5" s="1"/>
  <c r="F10" i="8" s="1"/>
  <c r="E6" i="5"/>
  <c r="F6" i="5" s="1"/>
  <c r="F4" i="8" s="1"/>
  <c r="F13" i="8" s="1"/>
  <c r="E9" i="5"/>
  <c r="F9" i="5" s="1"/>
  <c r="F7" i="8" s="1"/>
  <c r="Q13" i="3"/>
  <c r="R13" i="3" s="1"/>
  <c r="Q8" i="3"/>
  <c r="R8" i="3" s="1"/>
  <c r="Q11" i="3"/>
  <c r="N8" i="4" s="1"/>
  <c r="O8" i="4" s="1"/>
  <c r="K7" i="8" s="1"/>
  <c r="K10" i="3"/>
  <c r="L10" i="3" s="1"/>
  <c r="N6" i="4"/>
  <c r="O6" i="4" s="1"/>
  <c r="K5" i="8" s="1"/>
  <c r="E14" i="3"/>
  <c r="F14" i="3" s="1"/>
  <c r="D6" i="4"/>
  <c r="E6" i="4" s="1"/>
  <c r="E5" i="8" s="1"/>
  <c r="M5" i="8" s="1"/>
  <c r="N9" i="4"/>
  <c r="O9" i="4" s="1"/>
  <c r="K8" i="8" s="1"/>
  <c r="Q10" i="3"/>
  <c r="N7" i="4" s="1"/>
  <c r="O7" i="4" s="1"/>
  <c r="K6" i="8" s="1"/>
  <c r="Q14" i="3"/>
  <c r="R14" i="3" s="1"/>
  <c r="E11" i="3"/>
  <c r="D8" i="4" s="1"/>
  <c r="E8" i="4" s="1"/>
  <c r="E7" i="8" s="1"/>
  <c r="I5" i="4"/>
  <c r="J5" i="4" s="1"/>
  <c r="H4" i="8" s="1"/>
  <c r="F8" i="3"/>
  <c r="D5" i="4"/>
  <c r="E5" i="4" s="1"/>
  <c r="E4" i="8" s="1"/>
  <c r="L9" i="3"/>
  <c r="I6" i="4"/>
  <c r="J6" i="4" s="1"/>
  <c r="H5" i="8" s="1"/>
  <c r="E12" i="3"/>
  <c r="K11" i="3"/>
  <c r="E10" i="3"/>
  <c r="E13" i="3"/>
  <c r="L13" i="8" l="1"/>
  <c r="M7" i="8"/>
  <c r="H13" i="8"/>
  <c r="F13" i="5"/>
  <c r="N10" i="4"/>
  <c r="O10" i="4" s="1"/>
  <c r="K9" i="8" s="1"/>
  <c r="R13" i="5"/>
  <c r="N5" i="4"/>
  <c r="O5" i="4" s="1"/>
  <c r="K4" i="8" s="1"/>
  <c r="R11" i="3"/>
  <c r="I7" i="4"/>
  <c r="J7" i="4" s="1"/>
  <c r="H6" i="8" s="1"/>
  <c r="D11" i="4"/>
  <c r="E11" i="4" s="1"/>
  <c r="E10" i="8" s="1"/>
  <c r="M10" i="8" s="1"/>
  <c r="O10" i="8" s="1"/>
  <c r="R10" i="3"/>
  <c r="R15" i="3" s="1"/>
  <c r="N11" i="4"/>
  <c r="O11" i="4" s="1"/>
  <c r="K12" i="8" s="1"/>
  <c r="M12" i="8" s="1"/>
  <c r="F11" i="3"/>
  <c r="L11" i="3"/>
  <c r="L12" i="3" s="1"/>
  <c r="I8" i="4"/>
  <c r="J8" i="4" s="1"/>
  <c r="H11" i="8" s="1"/>
  <c r="M11" i="8" s="1"/>
  <c r="F10" i="3"/>
  <c r="D7" i="4"/>
  <c r="E7" i="4" s="1"/>
  <c r="E6" i="8" s="1"/>
  <c r="M6" i="8" s="1"/>
  <c r="F12" i="3"/>
  <c r="D9" i="4"/>
  <c r="E9" i="4" s="1"/>
  <c r="E8" i="8" s="1"/>
  <c r="M8" i="8" s="1"/>
  <c r="F13" i="3"/>
  <c r="D10" i="4"/>
  <c r="E10" i="4" s="1"/>
  <c r="E9" i="8" s="1"/>
  <c r="M9" i="8" l="1"/>
  <c r="E13" i="8"/>
  <c r="K13" i="8"/>
  <c r="M4" i="8"/>
  <c r="F15" i="3"/>
  <c r="J9" i="4"/>
  <c r="O12" i="4"/>
  <c r="E12" i="4"/>
  <c r="M13" i="8" l="1"/>
</calcChain>
</file>

<file path=xl/sharedStrings.xml><?xml version="1.0" encoding="utf-8"?>
<sst xmlns="http://schemas.openxmlformats.org/spreadsheetml/2006/main" count="257" uniqueCount="108">
  <si>
    <t>Introduction</t>
  </si>
  <si>
    <t>This worked example of FPP settlement calculations has been prepared by AEMO for the purpose of explaining the basic framework. It contains a simplified scenario that shows how trading amounts are calculated for each Regulation FCAS requirement, given the inputs in the ‘Input data’ tab. AEMO is seeking feedback on what further functionality or educational tools could be added to aid understanding of this process. It is noted that the subject of the consultation is primarily around how the inputs (Performance, RCR, Usage, and Frequency Measure) are derived, which is deliberately not dealt with in this example.</t>
  </si>
  <si>
    <t>Term</t>
  </si>
  <si>
    <t>Definition</t>
  </si>
  <si>
    <t>Contribution Factor (CF)</t>
  </si>
  <si>
    <r>
      <t xml:space="preserve">A factor calculated in accordance with section 5 of this Procedure and applied to an </t>
    </r>
    <r>
      <rPr>
        <i/>
        <sz val="11"/>
        <color rgb="FF000000"/>
        <rFont val="Calibri"/>
        <family val="2"/>
        <scheme val="minor"/>
      </rPr>
      <t>eligible unit</t>
    </r>
    <r>
      <rPr>
        <sz val="11"/>
        <color rgb="FF000000"/>
        <rFont val="Calibri"/>
        <family val="2"/>
        <scheme val="minor"/>
      </rPr>
      <t xml:space="preserve"> (and includes a Default Contribution Factor unless otherwise specified). </t>
    </r>
  </si>
  <si>
    <t>Default Contribution Factor (DCF)</t>
  </si>
  <si>
    <r>
      <t xml:space="preserve">A Contribution Factor determined in accordance with section 5.2 and applied to an </t>
    </r>
    <r>
      <rPr>
        <i/>
        <sz val="11"/>
        <color rgb="FF000000"/>
        <rFont val="Calibri"/>
        <family val="2"/>
        <scheme val="minor"/>
      </rPr>
      <t xml:space="preserve">eligible unit </t>
    </r>
    <r>
      <rPr>
        <sz val="11"/>
        <color rgb="FF000000"/>
        <rFont val="Calibri"/>
        <family val="2"/>
        <scheme val="minor"/>
      </rPr>
      <t>in the circumstances described in NER 3.15.6AA(g)(4)</t>
    </r>
  </si>
  <si>
    <t>Frequency Measure</t>
  </si>
  <si>
    <r>
      <t xml:space="preserve">The indication of need to raise or lower </t>
    </r>
    <r>
      <rPr>
        <i/>
        <sz val="11"/>
        <color rgb="FF000000"/>
        <rFont val="Calibri"/>
        <family val="2"/>
        <scheme val="minor"/>
      </rPr>
      <t>frequency</t>
    </r>
    <r>
      <rPr>
        <sz val="11"/>
        <color rgb="FF000000"/>
        <rFont val="Calibri"/>
        <family val="2"/>
        <scheme val="minor"/>
      </rPr>
      <t xml:space="preserve"> calculated in accordance with section 4 of this Procedure</t>
    </r>
  </si>
  <si>
    <t>Frequency Performance Payments (FPP)</t>
  </si>
  <si>
    <r>
      <t xml:space="preserve">Trading amounts </t>
    </r>
    <r>
      <rPr>
        <sz val="11"/>
        <color rgb="FF000000"/>
        <rFont val="Calibri"/>
        <family val="2"/>
        <scheme val="minor"/>
      </rPr>
      <t xml:space="preserve">payable by or to a </t>
    </r>
    <r>
      <rPr>
        <i/>
        <sz val="11"/>
        <color rgb="FF000000"/>
        <rFont val="Calibri"/>
        <family val="2"/>
        <scheme val="minor"/>
      </rPr>
      <t xml:space="preserve">Cost Recovery Market Participant </t>
    </r>
    <r>
      <rPr>
        <sz val="11"/>
        <color rgb="FF000000"/>
        <rFont val="Calibri"/>
        <family val="2"/>
        <scheme val="minor"/>
      </rPr>
      <t>determined under NER 3.15.6AA(b)</t>
    </r>
  </si>
  <si>
    <t xml:space="preserve">Historical Performance Trading Intervals </t>
  </si>
  <si>
    <r>
      <t>The most recent 1,000  </t>
    </r>
    <r>
      <rPr>
        <i/>
        <sz val="11"/>
        <color rgb="FF000000"/>
        <rFont val="Calibri"/>
        <family val="2"/>
        <scheme val="minor"/>
      </rPr>
      <t>trading intervals</t>
    </r>
    <r>
      <rPr>
        <sz val="11"/>
        <color rgb="FF000000"/>
        <rFont val="Calibri"/>
        <family val="2"/>
        <scheme val="minor"/>
      </rPr>
      <t xml:space="preserve"> prior to 10 </t>
    </r>
    <r>
      <rPr>
        <i/>
        <sz val="11"/>
        <color rgb="FF000000"/>
        <rFont val="Calibri"/>
        <family val="2"/>
        <scheme val="minor"/>
      </rPr>
      <t>business days</t>
    </r>
    <r>
      <rPr>
        <sz val="11"/>
        <color rgb="FF000000"/>
        <rFont val="Calibri"/>
        <family val="2"/>
        <scheme val="minor"/>
      </rPr>
      <t xml:space="preserve"> before the relevant </t>
    </r>
    <r>
      <rPr>
        <i/>
        <sz val="11"/>
        <color rgb="FF000000"/>
        <rFont val="Calibri"/>
        <family val="2"/>
        <scheme val="minor"/>
      </rPr>
      <t xml:space="preserve">billing period </t>
    </r>
    <r>
      <rPr>
        <sz val="11"/>
        <color rgb="FF000000"/>
        <rFont val="Calibri"/>
        <family val="2"/>
        <scheme val="minor"/>
      </rPr>
      <t>during which the default Contribution Factor will apply</t>
    </r>
  </si>
  <si>
    <t>Lower Performance</t>
  </si>
  <si>
    <r>
      <t xml:space="preserve">The performance in MWHz of the Residual or an </t>
    </r>
    <r>
      <rPr>
        <i/>
        <sz val="11"/>
        <color rgb="FF000000"/>
        <rFont val="Calibri"/>
        <family val="2"/>
        <scheme val="minor"/>
      </rPr>
      <t>eligible unit</t>
    </r>
    <r>
      <rPr>
        <sz val="11"/>
        <color rgb="FF000000"/>
        <rFont val="Calibri"/>
        <family val="2"/>
        <scheme val="minor"/>
      </rPr>
      <t xml:space="preserve"> with appropriate metering in respect of </t>
    </r>
    <r>
      <rPr>
        <i/>
        <sz val="11"/>
        <color rgb="FF000000"/>
        <rFont val="Calibri"/>
        <family val="2"/>
        <scheme val="minor"/>
      </rPr>
      <t>trading intervals</t>
    </r>
    <r>
      <rPr>
        <sz val="11"/>
        <color rgb="FF000000"/>
        <rFont val="Calibri"/>
        <family val="2"/>
        <scheme val="minor"/>
      </rPr>
      <t xml:space="preserve"> where the Frequency Measure is negative</t>
    </r>
  </si>
  <si>
    <t>NCF</t>
  </si>
  <si>
    <t>Negative Contribution Factor</t>
  </si>
  <si>
    <t>Performance</t>
  </si>
  <si>
    <t>Collectively refers to Raise Performance and Lower Performance</t>
  </si>
  <si>
    <t>Raise Performance</t>
  </si>
  <si>
    <r>
      <t xml:space="preserve">The performance in MWHz of the Residual or an </t>
    </r>
    <r>
      <rPr>
        <i/>
        <sz val="11"/>
        <color rgb="FF000000"/>
        <rFont val="Calibri"/>
        <family val="2"/>
        <scheme val="minor"/>
      </rPr>
      <t>eligible unit</t>
    </r>
    <r>
      <rPr>
        <sz val="11"/>
        <color rgb="FF000000"/>
        <rFont val="Calibri"/>
        <family val="2"/>
        <scheme val="minor"/>
      </rPr>
      <t xml:space="preserve"> with appropriate metering in respect of </t>
    </r>
    <r>
      <rPr>
        <i/>
        <sz val="11"/>
        <color rgb="FF000000"/>
        <rFont val="Calibri"/>
        <family val="2"/>
        <scheme val="minor"/>
      </rPr>
      <t>trading intervals</t>
    </r>
    <r>
      <rPr>
        <sz val="11"/>
        <color rgb="FF000000"/>
        <rFont val="Calibri"/>
        <family val="2"/>
        <scheme val="minor"/>
      </rPr>
      <t xml:space="preserve"> where the Frequency Measure is positive</t>
    </r>
  </si>
  <si>
    <t>RCR</t>
  </si>
  <si>
    <t>Requirement for corrective response</t>
  </si>
  <si>
    <t>Regulation FCAS</t>
  </si>
  <si>
    <r>
      <t>Regulating lower service</t>
    </r>
    <r>
      <rPr>
        <sz val="11"/>
        <color rgb="FF000000"/>
        <rFont val="Calibri"/>
        <family val="2"/>
        <scheme val="minor"/>
      </rPr>
      <t xml:space="preserve"> and </t>
    </r>
    <r>
      <rPr>
        <i/>
        <sz val="11"/>
        <color rgb="FF000000"/>
        <rFont val="Calibri"/>
        <family val="2"/>
        <scheme val="minor"/>
      </rPr>
      <t>regulating raise service</t>
    </r>
  </si>
  <si>
    <t>Regulation FCAS Requirement</t>
  </si>
  <si>
    <t>A binding constraint for Regulation FCAS</t>
  </si>
  <si>
    <t xml:space="preserve">Residual </t>
  </si>
  <si>
    <r>
      <t xml:space="preserve">The aggregate of all relevant </t>
    </r>
    <r>
      <rPr>
        <i/>
        <sz val="11"/>
        <color rgb="FF000000"/>
        <rFont val="Calibri"/>
        <family val="2"/>
        <scheme val="minor"/>
      </rPr>
      <t>eligible unit</t>
    </r>
    <r>
      <rPr>
        <sz val="11"/>
        <color rgb="FF000000"/>
        <rFont val="Calibri"/>
        <family val="2"/>
        <scheme val="minor"/>
      </rPr>
      <t xml:space="preserve">s without </t>
    </r>
    <r>
      <rPr>
        <i/>
        <sz val="11"/>
        <color rgb="FF000000"/>
        <rFont val="Calibri"/>
        <family val="2"/>
        <scheme val="minor"/>
      </rPr>
      <t>appropriate metering</t>
    </r>
    <r>
      <rPr>
        <sz val="11"/>
        <color rgb="FF000000"/>
        <rFont val="Calibri"/>
        <family val="2"/>
        <scheme val="minor"/>
      </rPr>
      <t xml:space="preserve"> </t>
    </r>
  </si>
  <si>
    <t>Usage</t>
  </si>
  <si>
    <t>The proportion of Regulation FCAS that is deemed Used Regulation FCAS, calculated in accordance with section 7 of this Procedure</t>
  </si>
  <si>
    <t>Unused Regulation FCAS</t>
  </si>
  <si>
    <t>Regulation FCAS that is deemed unused and for which costs are recovered in accordance with NER3.15.6AA(d)</t>
  </si>
  <si>
    <t>Used Regulation FCAS</t>
  </si>
  <si>
    <t>Regulation FCAS that is deemed used and for which costs are recovered in accordance with NER3.15.6AA(c)</t>
  </si>
  <si>
    <t>Region</t>
  </si>
  <si>
    <t>Eligible unit</t>
  </si>
  <si>
    <t>Raise Performance (MWHz)</t>
  </si>
  <si>
    <t>Lower Performance (MWHz)</t>
  </si>
  <si>
    <t>Historical Raise Performance  (MWHz)</t>
  </si>
  <si>
    <t>Historical Lower Performance (MWHz)</t>
  </si>
  <si>
    <t>Constraint</t>
  </si>
  <si>
    <t>Requirement volume (MW)</t>
  </si>
  <si>
    <t>Marginal cost ($)</t>
  </si>
  <si>
    <t>RCR (MW)</t>
  </si>
  <si>
    <t>A</t>
  </si>
  <si>
    <t>GA1</t>
  </si>
  <si>
    <t xml:space="preserve">RAISE_REQ1 </t>
  </si>
  <si>
    <t>Raise(A) + Raise(B) &gt; 120</t>
  </si>
  <si>
    <t>GA2</t>
  </si>
  <si>
    <t>RAISE_REQ2</t>
  </si>
  <si>
    <t>Raise(A) &gt; 50</t>
  </si>
  <si>
    <t>GA3</t>
  </si>
  <si>
    <t>LOWER_REQ1</t>
  </si>
  <si>
    <t>Lower(A)+Lower(B) &gt; 100</t>
  </si>
  <si>
    <t>Residual in region A</t>
  </si>
  <si>
    <t>B</t>
  </si>
  <si>
    <t>GB1</t>
  </si>
  <si>
    <t>GB2</t>
  </si>
  <si>
    <r>
      <t xml:space="preserve">Raise(A) is the enabled </t>
    </r>
    <r>
      <rPr>
        <i/>
        <sz val="11"/>
        <color theme="1"/>
        <rFont val="Calibri"/>
        <family val="2"/>
        <scheme val="minor"/>
      </rPr>
      <t>regulating raise service</t>
    </r>
    <r>
      <rPr>
        <sz val="11"/>
        <color theme="1"/>
        <rFont val="Calibri"/>
        <family val="2"/>
        <scheme val="minor"/>
      </rPr>
      <t xml:space="preserve"> in region A</t>
    </r>
  </si>
  <si>
    <t>GB3</t>
  </si>
  <si>
    <r>
      <t xml:space="preserve">Lower(B) is the enabled </t>
    </r>
    <r>
      <rPr>
        <i/>
        <sz val="11"/>
        <color theme="1"/>
        <rFont val="Calibri"/>
        <family val="2"/>
        <scheme val="minor"/>
      </rPr>
      <t xml:space="preserve">regulating lower service </t>
    </r>
    <r>
      <rPr>
        <sz val="11"/>
        <color theme="1"/>
        <rFont val="Calibri"/>
        <family val="2"/>
        <scheme val="minor"/>
      </rPr>
      <t>in region B</t>
    </r>
  </si>
  <si>
    <t>Residual in region B</t>
  </si>
  <si>
    <r>
      <rPr>
        <b/>
        <sz val="11"/>
        <color theme="1"/>
        <rFont val="Calibri"/>
        <family val="2"/>
        <scheme val="minor"/>
      </rPr>
      <t xml:space="preserve">Assumptions: </t>
    </r>
    <r>
      <rPr>
        <sz val="11"/>
        <color theme="1"/>
        <rFont val="Calibri"/>
        <family val="2"/>
        <scheme val="minor"/>
      </rPr>
      <t>No cooptimised constraints binding and no cost splitting between the Regulation FCAS and the delayed (5-min) Contingency FCAS</t>
    </r>
  </si>
  <si>
    <r>
      <rPr>
        <b/>
        <sz val="11"/>
        <color rgb="FF000000"/>
        <rFont val="Calibri"/>
      </rPr>
      <t>Note that:</t>
    </r>
    <r>
      <rPr>
        <sz val="11"/>
        <color rgb="FF000000"/>
        <rFont val="Calibri"/>
      </rPr>
      <t xml:space="preserve"> </t>
    </r>
    <r>
      <rPr>
        <b/>
        <sz val="11"/>
        <color rgb="FF000000"/>
        <rFont val="Calibri"/>
      </rPr>
      <t>1-</t>
    </r>
    <r>
      <rPr>
        <sz val="11"/>
        <color rgb="FF000000"/>
        <rFont val="Calibri"/>
      </rPr>
      <t xml:space="preserve"> all data referred to in this sheet are inputs to the further calculations; </t>
    </r>
    <r>
      <rPr>
        <b/>
        <sz val="11"/>
        <color rgb="FF000000"/>
        <rFont val="Calibri"/>
      </rPr>
      <t>2-</t>
    </r>
    <r>
      <rPr>
        <sz val="11"/>
        <color rgb="FF000000"/>
        <rFont val="Calibri"/>
      </rPr>
      <t xml:space="preserve"> the spreadsheet is hard-coded for the specified number of units and the structure of the three constraints; </t>
    </r>
    <r>
      <rPr>
        <b/>
        <sz val="11"/>
        <color rgb="FF000000"/>
        <rFont val="Calibri"/>
      </rPr>
      <t>3-</t>
    </r>
    <r>
      <rPr>
        <sz val="11"/>
        <color rgb="FF000000"/>
        <rFont val="Calibri"/>
      </rPr>
      <t xml:space="preserve"> positive (+) payment means a payment to the market participant, while a negative (-) one means a payment from the market participant; </t>
    </r>
    <r>
      <rPr>
        <b/>
        <sz val="11"/>
        <color rgb="FF000000"/>
        <rFont val="Calibri"/>
      </rPr>
      <t>4-</t>
    </r>
    <r>
      <rPr>
        <sz val="11"/>
        <color rgb="FF000000"/>
        <rFont val="Calibri"/>
      </rPr>
      <t xml:space="preserve"> the payments from Residuals are determined based on the Residual for each Regulation FCAS Requirement. Afterwards, the costs for each requirement are distributed based on the total energy consumption (MWh) across regions.</t>
    </r>
  </si>
  <si>
    <r>
      <t xml:space="preserve">Price of </t>
    </r>
    <r>
      <rPr>
        <b/>
        <i/>
        <sz val="11"/>
        <color rgb="FFFDD26E"/>
        <rFont val="Calibri"/>
        <family val="2"/>
        <scheme val="minor"/>
      </rPr>
      <t>regulating raise service</t>
    </r>
    <r>
      <rPr>
        <b/>
        <sz val="11"/>
        <color rgb="FFFDD26E"/>
        <rFont val="Calibri"/>
        <family val="2"/>
        <scheme val="minor"/>
      </rPr>
      <t xml:space="preserve"> ($)</t>
    </r>
  </si>
  <si>
    <r>
      <t xml:space="preserve">Enabled </t>
    </r>
    <r>
      <rPr>
        <b/>
        <i/>
        <sz val="11"/>
        <color rgb="FFFDD26E"/>
        <rFont val="Calibri"/>
        <family val="2"/>
        <scheme val="minor"/>
      </rPr>
      <t>regulating raise service</t>
    </r>
    <r>
      <rPr>
        <b/>
        <sz val="11"/>
        <color rgb="FFFDD26E"/>
        <rFont val="Calibri"/>
        <family val="2"/>
        <scheme val="minor"/>
      </rPr>
      <t xml:space="preserve"> (MW)</t>
    </r>
  </si>
  <si>
    <r>
      <t xml:space="preserve">Costs of </t>
    </r>
    <r>
      <rPr>
        <b/>
        <i/>
        <sz val="11"/>
        <color rgb="FFFDD26E"/>
        <rFont val="Calibri"/>
        <family val="2"/>
        <scheme val="minor"/>
      </rPr>
      <t>regulating raise service</t>
    </r>
    <r>
      <rPr>
        <b/>
        <sz val="11"/>
        <color rgb="FFFDD26E"/>
        <rFont val="Calibri"/>
        <family val="2"/>
        <scheme val="minor"/>
      </rPr>
      <t xml:space="preserve"> ($)</t>
    </r>
  </si>
  <si>
    <t>Cost of Regulation FCAS ($)</t>
  </si>
  <si>
    <t>Cost of Used Regulation FCAS ($)</t>
  </si>
  <si>
    <t>Cost of Unused Regulation FCAS ($)</t>
  </si>
  <si>
    <r>
      <t xml:space="preserve">Price of </t>
    </r>
    <r>
      <rPr>
        <b/>
        <i/>
        <sz val="11"/>
        <color rgb="FFFDD26E"/>
        <rFont val="Calibri"/>
        <family val="2"/>
        <scheme val="minor"/>
      </rPr>
      <t>regulating lower service</t>
    </r>
    <r>
      <rPr>
        <b/>
        <sz val="11"/>
        <color rgb="FFFDD26E"/>
        <rFont val="Calibri"/>
        <family val="2"/>
        <scheme val="minor"/>
      </rPr>
      <t xml:space="preserve"> ($)</t>
    </r>
  </si>
  <si>
    <r>
      <t xml:space="preserve">Enabled </t>
    </r>
    <r>
      <rPr>
        <b/>
        <i/>
        <sz val="11"/>
        <color rgb="FFFDD26E"/>
        <rFont val="Calibri"/>
        <family val="2"/>
        <scheme val="minor"/>
      </rPr>
      <t>regulating lower service</t>
    </r>
    <r>
      <rPr>
        <b/>
        <sz val="11"/>
        <color rgb="FFFDD26E"/>
        <rFont val="Calibri"/>
        <family val="2"/>
        <scheme val="minor"/>
      </rPr>
      <t xml:space="preserve"> (MW)</t>
    </r>
  </si>
  <si>
    <r>
      <t xml:space="preserve">Costs of </t>
    </r>
    <r>
      <rPr>
        <b/>
        <i/>
        <sz val="11"/>
        <color rgb="FFFDD26E"/>
        <rFont val="Calibri"/>
        <family val="2"/>
        <scheme val="minor"/>
      </rPr>
      <t>regulating lower service</t>
    </r>
    <r>
      <rPr>
        <b/>
        <sz val="11"/>
        <color rgb="FFFDD26E"/>
        <rFont val="Calibri"/>
        <family val="2"/>
        <scheme val="minor"/>
      </rPr>
      <t xml:space="preserve"> ($)</t>
    </r>
  </si>
  <si>
    <t>A &amp; B</t>
  </si>
  <si>
    <t xml:space="preserve">FPP for RAISE_REQ1 </t>
  </si>
  <si>
    <t>FPP for RAISE_REQ2</t>
  </si>
  <si>
    <t>FPP for LOWER_REQ2</t>
  </si>
  <si>
    <t>Sum of positive Raise Performances</t>
  </si>
  <si>
    <t>Sum of positive Lower Performances</t>
  </si>
  <si>
    <t>Sum of negative Raise Performances</t>
  </si>
  <si>
    <t>Sum of negative Lower Performances</t>
  </si>
  <si>
    <t>CF</t>
  </si>
  <si>
    <t>Payment</t>
  </si>
  <si>
    <t>Residual for RAISE_REQ2</t>
  </si>
  <si>
    <t>Sum of payments</t>
  </si>
  <si>
    <t>Residual for RAISE_REQ1</t>
  </si>
  <si>
    <t>Residual for LOWER_REQ1</t>
  </si>
  <si>
    <t xml:space="preserve">Cost recovery of Used Regulation FCAS for RAISE_REQ1 </t>
  </si>
  <si>
    <t>Cost recovery of Used Regulation FCAS for RAISE_REQ2</t>
  </si>
  <si>
    <t xml:space="preserve">Cost recovery of Used Regulation FCAS for LOWER_REQ1 </t>
  </si>
  <si>
    <t>Total cost recovered</t>
  </si>
  <si>
    <t xml:space="preserve">Cost recovery of Unused Regulation FCAS for RAISE_REQ1 </t>
  </si>
  <si>
    <t xml:space="preserve">Cost recovery of Unused Regulation FCAS for RAISE_REQ2 </t>
  </si>
  <si>
    <t xml:space="preserve">Cost recovery of Unused Regulation FCAS for LOWER_REQ1 </t>
  </si>
  <si>
    <t>Sum of negative historical Raise Performances (MWHz)</t>
  </si>
  <si>
    <t>Sum of negative historical Lower Performances (MWHz)</t>
  </si>
  <si>
    <t>Historical Raise Performance (MWHz)</t>
  </si>
  <si>
    <t>DCF</t>
  </si>
  <si>
    <t xml:space="preserve">Historical Lower Performance (MWHz) </t>
  </si>
  <si>
    <t xml:space="preserve">RAISE_REQ2 </t>
  </si>
  <si>
    <t xml:space="preserve">LOWER_REQ1 </t>
  </si>
  <si>
    <t>Total payment</t>
  </si>
  <si>
    <t>FPP payment</t>
  </si>
  <si>
    <t>Used Regulation FCAS cost</t>
  </si>
  <si>
    <t>Unused Regulation FCAS cost</t>
  </si>
  <si>
    <t>Sum of all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</si>
</sst>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C09]* #,##0.00_-;\-[$$-C09]* #,##0.00_-;_-[$$-C09]* &quot;-&quot;??_-;_-@_-"/>
  </numFmts>
  <fonts count="21">
    <font>
      <sz val="11"/>
      <color theme="1"/>
      <name val="Calibri"/>
      <family val="2"/>
      <scheme val="minor"/>
    </font>
    <font>
      <sz val="11"/>
      <color theme="1"/>
      <name val="Calibri"/>
      <family val="2"/>
      <scheme val="minor"/>
    </font>
    <font>
      <sz val="8"/>
      <name val="Calibri"/>
      <family val="2"/>
      <scheme val="minor"/>
    </font>
    <font>
      <sz val="8"/>
      <color theme="1"/>
      <name val="Arial Nova"/>
      <family val="2"/>
    </font>
    <font>
      <b/>
      <sz val="11"/>
      <color theme="1"/>
      <name val="Calibri"/>
      <family val="2"/>
      <scheme val="minor"/>
    </font>
    <font>
      <sz val="11"/>
      <color theme="0"/>
      <name val="Calibri"/>
      <family val="2"/>
      <scheme val="minor"/>
    </font>
    <font>
      <b/>
      <sz val="11"/>
      <color rgb="FFFDD26E"/>
      <name val="Calibri"/>
      <family val="2"/>
      <scheme val="minor"/>
    </font>
    <font>
      <b/>
      <i/>
      <sz val="11"/>
      <color rgb="FFFDD26E"/>
      <name val="Calibri"/>
      <family val="2"/>
      <scheme val="minor"/>
    </font>
    <font>
      <i/>
      <sz val="11"/>
      <color theme="1"/>
      <name val="Calibri"/>
      <family val="2"/>
      <scheme val="minor"/>
    </font>
    <font>
      <b/>
      <sz val="11"/>
      <color rgb="FFFF0000"/>
      <name val="Calibri"/>
      <family val="2"/>
      <scheme val="minor"/>
    </font>
    <font>
      <b/>
      <sz val="12"/>
      <color rgb="FFFF9797"/>
      <name val="Calibri"/>
      <family val="2"/>
      <scheme val="minor"/>
    </font>
    <font>
      <sz val="12"/>
      <color rgb="FFFF9797"/>
      <name val="Calibri"/>
      <family val="2"/>
      <scheme val="minor"/>
    </font>
    <font>
      <sz val="12"/>
      <color theme="1"/>
      <name val="Calibri"/>
      <family val="2"/>
      <scheme val="minor"/>
    </font>
    <font>
      <b/>
      <sz val="11"/>
      <color rgb="FFFF9797"/>
      <name val="Calibri"/>
      <family val="2"/>
      <scheme val="minor"/>
    </font>
    <font>
      <sz val="11"/>
      <color rgb="FFFDD26E"/>
      <name val="Calibri"/>
      <family val="2"/>
      <scheme val="minor"/>
    </font>
    <font>
      <b/>
      <sz val="12"/>
      <color rgb="FFFF0000"/>
      <name val="Calibri"/>
      <family val="2"/>
      <scheme val="minor"/>
    </font>
    <font>
      <sz val="11"/>
      <color rgb="FF000000"/>
      <name val="Calibri"/>
      <family val="2"/>
      <scheme val="minor"/>
    </font>
    <font>
      <i/>
      <sz val="11"/>
      <color rgb="FF000000"/>
      <name val="Calibri"/>
      <family val="2"/>
      <scheme val="minor"/>
    </font>
    <font>
      <b/>
      <sz val="11"/>
      <color rgb="FF000000"/>
      <name val="Calibri"/>
    </font>
    <font>
      <sz val="11"/>
      <color rgb="FF000000"/>
      <name val="Calibri"/>
    </font>
    <font>
      <b/>
      <sz val="16"/>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6B3077"/>
        <bgColor indexed="64"/>
      </patternFill>
    </fill>
    <fill>
      <patternFill patternType="solid">
        <fgColor rgb="FFA3519B"/>
        <bgColor indexed="64"/>
      </patternFill>
    </fill>
    <fill>
      <patternFill patternType="solid">
        <fgColor theme="0"/>
        <bgColor indexed="64"/>
      </patternFill>
    </fill>
    <fill>
      <patternFill patternType="solid">
        <fgColor rgb="FFFDD26E"/>
        <bgColor indexed="64"/>
      </patternFill>
    </fill>
    <fill>
      <patternFill patternType="solid">
        <fgColor rgb="FFEEEEF0"/>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style="medium">
        <color rgb="FFFFFFFF"/>
      </right>
      <top/>
      <bottom style="medium">
        <color rgb="FFFFFFFF"/>
      </bottom>
      <diagonal/>
    </border>
    <border>
      <left/>
      <right/>
      <top/>
      <bottom style="medium">
        <color rgb="FFFFFFFF"/>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61">
    <xf numFmtId="0" fontId="0" fillId="0" borderId="0" xfId="0"/>
    <xf numFmtId="0" fontId="3" fillId="0" borderId="0" xfId="0" applyFont="1" applyAlignment="1">
      <alignment vertical="center"/>
    </xf>
    <xf numFmtId="0" fontId="0" fillId="0" borderId="0" xfId="0" applyAlignment="1">
      <alignment horizontal="left" vertical="center"/>
    </xf>
    <xf numFmtId="0" fontId="6"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0" fillId="0" borderId="0" xfId="0"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left" vertical="center"/>
    </xf>
    <xf numFmtId="0" fontId="0" fillId="5" borderId="1" xfId="0" applyFill="1" applyBorder="1" applyAlignment="1">
      <alignment horizontal="left" vertical="center"/>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0" fillId="5" borderId="11" xfId="0" applyFill="1" applyBorder="1" applyAlignment="1">
      <alignment horizontal="left" vertical="center"/>
    </xf>
    <xf numFmtId="0" fontId="0" fillId="2" borderId="26" xfId="0" applyFill="1" applyBorder="1" applyAlignment="1">
      <alignment horizontal="left" vertical="center"/>
    </xf>
    <xf numFmtId="0" fontId="0" fillId="2" borderId="12" xfId="0" applyFill="1" applyBorder="1" applyAlignment="1">
      <alignment horizontal="left" vertical="center"/>
    </xf>
    <xf numFmtId="0" fontId="0" fillId="2" borderId="9"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164" fontId="0" fillId="0" borderId="0" xfId="1" applyFont="1" applyBorder="1" applyAlignment="1">
      <alignment horizontal="left" vertical="center"/>
    </xf>
    <xf numFmtId="0" fontId="9" fillId="0" borderId="0" xfId="0" applyFont="1" applyAlignment="1">
      <alignment horizontal="left" vertical="center"/>
    </xf>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wrapText="1"/>
    </xf>
    <xf numFmtId="0" fontId="6" fillId="4" borderId="11" xfId="0" applyFont="1" applyFill="1" applyBorder="1" applyAlignment="1">
      <alignment vertical="center"/>
    </xf>
    <xf numFmtId="0" fontId="0" fillId="5" borderId="1" xfId="0" applyFill="1" applyBorder="1" applyAlignment="1">
      <alignment vertical="center"/>
    </xf>
    <xf numFmtId="0" fontId="0" fillId="5" borderId="6" xfId="0" applyFill="1" applyBorder="1" applyAlignment="1">
      <alignment vertical="center"/>
    </xf>
    <xf numFmtId="0" fontId="6" fillId="4" borderId="12"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6" fillId="3" borderId="1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6" xfId="0" applyFont="1" applyFill="1" applyBorder="1" applyAlignment="1">
      <alignment horizontal="left" vertical="center" wrapText="1"/>
    </xf>
    <xf numFmtId="0" fontId="4" fillId="0" borderId="0" xfId="0" applyFont="1" applyAlignment="1">
      <alignment horizontal="left" vertical="center" wrapText="1"/>
    </xf>
    <xf numFmtId="0" fontId="0" fillId="0" borderId="1" xfId="0" applyBorder="1" applyAlignment="1">
      <alignment vertical="center"/>
    </xf>
    <xf numFmtId="164" fontId="0" fillId="0" borderId="6" xfId="1" applyFont="1" applyBorder="1" applyAlignment="1">
      <alignment vertical="center"/>
    </xf>
    <xf numFmtId="0" fontId="0" fillId="2" borderId="1" xfId="0" applyFill="1" applyBorder="1" applyAlignment="1">
      <alignment vertical="center"/>
    </xf>
    <xf numFmtId="164" fontId="0" fillId="2" borderId="6" xfId="1" applyFont="1" applyFill="1" applyBorder="1" applyAlignment="1">
      <alignment vertical="center"/>
    </xf>
    <xf numFmtId="164" fontId="0" fillId="0" borderId="10" xfId="1" applyFont="1" applyBorder="1" applyAlignment="1">
      <alignment vertical="center"/>
    </xf>
    <xf numFmtId="0" fontId="9" fillId="0" borderId="0" xfId="0" applyFont="1" applyAlignment="1">
      <alignment vertical="center"/>
    </xf>
    <xf numFmtId="0" fontId="6" fillId="3" borderId="11" xfId="0" applyFont="1" applyFill="1" applyBorder="1" applyAlignment="1">
      <alignment vertical="center" wrapText="1"/>
    </xf>
    <xf numFmtId="0" fontId="7" fillId="3" borderId="1" xfId="0" applyFont="1" applyFill="1" applyBorder="1" applyAlignment="1">
      <alignment vertical="center" wrapText="1"/>
    </xf>
    <xf numFmtId="0" fontId="6" fillId="3" borderId="1" xfId="0" applyFont="1" applyFill="1" applyBorder="1" applyAlignment="1">
      <alignment vertical="center" wrapText="1"/>
    </xf>
    <xf numFmtId="0" fontId="6" fillId="3" borderId="6" xfId="0" applyFont="1" applyFill="1" applyBorder="1" applyAlignment="1">
      <alignment vertical="center" wrapText="1"/>
    </xf>
    <xf numFmtId="164" fontId="0" fillId="5" borderId="10" xfId="0" applyNumberFormat="1" applyFill="1" applyBorder="1" applyAlignment="1">
      <alignment vertical="center"/>
    </xf>
    <xf numFmtId="164" fontId="0" fillId="2" borderId="10" xfId="0" applyNumberFormat="1" applyFill="1" applyBorder="1" applyAlignment="1">
      <alignment vertical="center"/>
    </xf>
    <xf numFmtId="0" fontId="14"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0" fillId="0" borderId="0" xfId="0" applyAlignment="1">
      <alignment vertical="center" wrapText="1"/>
    </xf>
    <xf numFmtId="164" fontId="0" fillId="0" borderId="10" xfId="0" applyNumberFormat="1" applyBorder="1" applyAlignment="1">
      <alignment vertical="center"/>
    </xf>
    <xf numFmtId="165" fontId="5" fillId="0" borderId="0" xfId="0" applyNumberFormat="1" applyFont="1"/>
    <xf numFmtId="0" fontId="6" fillId="4" borderId="1"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0" fillId="0" borderId="13" xfId="0" applyBorder="1" applyAlignment="1">
      <alignment vertical="center"/>
    </xf>
    <xf numFmtId="165" fontId="0" fillId="0" borderId="30" xfId="0" applyNumberFormat="1" applyBorder="1" applyAlignment="1">
      <alignment vertical="center"/>
    </xf>
    <xf numFmtId="165" fontId="0" fillId="0" borderId="1" xfId="0" applyNumberFormat="1" applyBorder="1" applyAlignment="1">
      <alignment vertical="center"/>
    </xf>
    <xf numFmtId="165" fontId="0" fillId="0" borderId="27" xfId="0" applyNumberFormat="1" applyBorder="1" applyAlignment="1">
      <alignment vertical="center"/>
    </xf>
    <xf numFmtId="165" fontId="0" fillId="0" borderId="19" xfId="0" applyNumberFormat="1" applyBorder="1" applyAlignment="1">
      <alignment vertical="center"/>
    </xf>
    <xf numFmtId="165" fontId="0" fillId="0" borderId="13" xfId="0" applyNumberFormat="1" applyBorder="1" applyAlignment="1">
      <alignment vertical="center"/>
    </xf>
    <xf numFmtId="0" fontId="0" fillId="2" borderId="13" xfId="0" applyFill="1" applyBorder="1" applyAlignment="1">
      <alignment vertical="center"/>
    </xf>
    <xf numFmtId="165" fontId="0" fillId="2" borderId="30" xfId="0" applyNumberFormat="1" applyFill="1" applyBorder="1" applyAlignment="1">
      <alignment vertical="center"/>
    </xf>
    <xf numFmtId="165" fontId="0" fillId="2" borderId="1" xfId="0" applyNumberFormat="1" applyFill="1" applyBorder="1" applyAlignment="1">
      <alignment vertical="center"/>
    </xf>
    <xf numFmtId="165" fontId="0" fillId="2" borderId="27" xfId="0" applyNumberFormat="1" applyFill="1" applyBorder="1" applyAlignment="1">
      <alignment vertical="center"/>
    </xf>
    <xf numFmtId="165" fontId="0" fillId="2" borderId="19" xfId="0" applyNumberFormat="1" applyFill="1" applyBorder="1" applyAlignment="1">
      <alignment vertical="center"/>
    </xf>
    <xf numFmtId="165" fontId="0" fillId="2" borderId="13" xfId="0" applyNumberFormat="1" applyFill="1" applyBorder="1" applyAlignment="1">
      <alignment vertical="center"/>
    </xf>
    <xf numFmtId="165" fontId="0" fillId="2" borderId="31" xfId="0" applyNumberFormat="1" applyFill="1" applyBorder="1" applyAlignment="1">
      <alignment vertical="center"/>
    </xf>
    <xf numFmtId="165" fontId="0" fillId="2" borderId="9" xfId="0" applyNumberFormat="1" applyFill="1" applyBorder="1" applyAlignment="1">
      <alignment vertical="center"/>
    </xf>
    <xf numFmtId="165" fontId="0" fillId="2" borderId="28" xfId="0" applyNumberFormat="1" applyFill="1" applyBorder="1" applyAlignment="1">
      <alignment vertical="center"/>
    </xf>
    <xf numFmtId="165" fontId="0" fillId="2" borderId="18" xfId="0" applyNumberFormat="1" applyFill="1" applyBorder="1" applyAlignment="1">
      <alignment vertical="center"/>
    </xf>
    <xf numFmtId="165" fontId="0" fillId="2" borderId="29" xfId="0" applyNumberFormat="1" applyFill="1" applyBorder="1" applyAlignment="1">
      <alignment vertical="center"/>
    </xf>
    <xf numFmtId="0" fontId="6" fillId="3" borderId="24" xfId="0" applyFont="1" applyFill="1" applyBorder="1" applyAlignment="1">
      <alignment vertical="center" wrapText="1"/>
    </xf>
    <xf numFmtId="0" fontId="6" fillId="3" borderId="25" xfId="0" applyFont="1" applyFill="1" applyBorder="1" applyAlignment="1">
      <alignment vertical="center" wrapText="1"/>
    </xf>
    <xf numFmtId="0" fontId="16" fillId="7" borderId="24" xfId="0" applyFont="1" applyFill="1" applyBorder="1" applyAlignment="1">
      <alignment vertical="center" wrapText="1"/>
    </xf>
    <xf numFmtId="0" fontId="16" fillId="7" borderId="25" xfId="0" applyFont="1" applyFill="1" applyBorder="1" applyAlignment="1">
      <alignment vertical="center" wrapText="1"/>
    </xf>
    <xf numFmtId="0" fontId="17" fillId="7" borderId="25" xfId="0" applyFont="1" applyFill="1" applyBorder="1" applyAlignment="1">
      <alignment vertical="center" wrapText="1"/>
    </xf>
    <xf numFmtId="0" fontId="16" fillId="7" borderId="0" xfId="0" applyFont="1" applyFill="1" applyAlignment="1">
      <alignment vertical="center" wrapText="1"/>
    </xf>
    <xf numFmtId="0" fontId="0" fillId="5" borderId="0" xfId="0" applyFill="1" applyAlignment="1">
      <alignment vertical="center"/>
    </xf>
    <xf numFmtId="0" fontId="6" fillId="5" borderId="0" xfId="0" applyFont="1" applyFill="1" applyAlignment="1">
      <alignment vertical="center"/>
    </xf>
    <xf numFmtId="0" fontId="4" fillId="5" borderId="0" xfId="0" applyFont="1" applyFill="1" applyAlignment="1">
      <alignment vertical="center"/>
    </xf>
    <xf numFmtId="165" fontId="0" fillId="0" borderId="0" xfId="0" applyNumberFormat="1"/>
    <xf numFmtId="0" fontId="20" fillId="0" borderId="0" xfId="0" applyFont="1"/>
    <xf numFmtId="0" fontId="0" fillId="8" borderId="0" xfId="0" applyFill="1" applyAlignment="1">
      <alignment vertical="center" wrapText="1"/>
    </xf>
    <xf numFmtId="0" fontId="19" fillId="6" borderId="0" xfId="0" applyFont="1" applyFill="1" applyAlignment="1">
      <alignment horizontal="left" vertical="center" wrapText="1"/>
    </xf>
    <xf numFmtId="0" fontId="0" fillId="6" borderId="0" xfId="0" applyFill="1" applyAlignment="1">
      <alignment horizontal="left" vertical="center" wrapText="1"/>
    </xf>
    <xf numFmtId="0" fontId="0" fillId="6" borderId="0" xfId="0" applyFill="1" applyAlignment="1">
      <alignment horizontal="left"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9"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6"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0" fillId="5" borderId="11" xfId="0" applyFill="1" applyBorder="1" applyAlignment="1">
      <alignment horizontal="center" vertical="center"/>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6" fillId="4" borderId="11" xfId="0" applyFont="1" applyFill="1" applyBorder="1" applyAlignment="1">
      <alignment horizontal="center" vertical="center"/>
    </xf>
    <xf numFmtId="0" fontId="6" fillId="4" borderId="1"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18" xfId="0" applyFont="1" applyFill="1" applyBorder="1" applyAlignment="1">
      <alignment horizontal="center" vertical="center"/>
    </xf>
    <xf numFmtId="0" fontId="6" fillId="4" borderId="12" xfId="0" applyFont="1" applyFill="1" applyBorder="1" applyAlignment="1">
      <alignment horizontal="center" vertical="center"/>
    </xf>
    <xf numFmtId="0" fontId="14" fillId="4" borderId="9" xfId="0" applyFont="1" applyFill="1" applyBorder="1" applyAlignment="1">
      <alignment horizontal="center" vertical="center"/>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3" borderId="1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5"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6" fillId="4" borderId="23"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32"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4" borderId="29" xfId="0" applyFont="1" applyFill="1" applyBorder="1" applyAlignment="1">
      <alignment horizontal="center" vertical="center"/>
    </xf>
    <xf numFmtId="0" fontId="6" fillId="4" borderId="13" xfId="0" applyFont="1" applyFill="1" applyBorder="1" applyAlignment="1">
      <alignment horizontal="center" vertical="center"/>
    </xf>
    <xf numFmtId="165" fontId="0" fillId="2" borderId="1" xfId="0" applyNumberFormat="1" applyFill="1" applyBorder="1" applyAlignment="1">
      <alignment horizontal="center" vertical="center"/>
    </xf>
    <xf numFmtId="165" fontId="0" fillId="2" borderId="6" xfId="0" applyNumberFormat="1" applyFill="1" applyBorder="1" applyAlignment="1">
      <alignment horizontal="center" vertical="center"/>
    </xf>
    <xf numFmtId="165" fontId="0" fillId="2" borderId="9" xfId="0" applyNumberFormat="1" applyFill="1" applyBorder="1" applyAlignment="1">
      <alignment horizontal="center" vertical="center"/>
    </xf>
    <xf numFmtId="165" fontId="0" fillId="2" borderId="10" xfId="0" applyNumberFormat="1" applyFill="1" applyBorder="1" applyAlignment="1">
      <alignment horizontal="center" vertical="center"/>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165" fontId="0" fillId="0" borderId="13" xfId="0" applyNumberFormat="1" applyBorder="1" applyAlignment="1">
      <alignment horizontal="center" vertical="center"/>
    </xf>
    <xf numFmtId="165" fontId="0" fillId="0" borderId="15" xfId="0" applyNumberFormat="1" applyBorder="1" applyAlignment="1">
      <alignment horizontal="center" vertical="center"/>
    </xf>
    <xf numFmtId="165" fontId="0" fillId="2" borderId="13" xfId="0" applyNumberFormat="1" applyFill="1" applyBorder="1" applyAlignment="1">
      <alignment horizontal="center" vertical="center"/>
    </xf>
    <xf numFmtId="165" fontId="0" fillId="2" borderId="15" xfId="0" applyNumberFormat="1" applyFill="1" applyBorder="1" applyAlignment="1">
      <alignment horizontal="center" vertical="center"/>
    </xf>
    <xf numFmtId="165" fontId="0" fillId="0" borderId="1" xfId="0" applyNumberFormat="1" applyBorder="1" applyAlignment="1">
      <alignment horizontal="center" vertical="center"/>
    </xf>
    <xf numFmtId="165" fontId="0" fillId="0" borderId="6" xfId="0" applyNumberForma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6B3077"/>
      <color rgb="FFA3519B"/>
      <color rgb="FFFDD26E"/>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AU" sz="1800" b="1">
                <a:solidFill>
                  <a:srgbClr val="6B3077"/>
                </a:solidFill>
              </a:rPr>
              <a:t>Total payments</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A3519B"/>
            </a:solidFill>
            <a:ln>
              <a:noFill/>
            </a:ln>
            <a:effectLst/>
          </c:spPr>
          <c:invertIfNegative val="0"/>
          <c:cat>
            <c:strLit>
              <c:ptCount val="10"/>
              <c:pt idx="0">
                <c:v>GA1</c:v>
              </c:pt>
              <c:pt idx="1">
                <c:v>GA2</c:v>
              </c:pt>
              <c:pt idx="2">
                <c:v>GA3</c:v>
              </c:pt>
              <c:pt idx="3">
                <c:v>GB1</c:v>
              </c:pt>
              <c:pt idx="4">
                <c:v>GB2</c:v>
              </c:pt>
              <c:pt idx="5">
                <c:v>GB3</c:v>
              </c:pt>
              <c:pt idx="6">
                <c:v>RAISE1</c:v>
              </c:pt>
              <c:pt idx="7">
                <c:v>RAISE2</c:v>
              </c:pt>
              <c:pt idx="8">
                <c:v>LOWER1</c:v>
              </c:pt>
              <c:pt idx="9">
                <c:v>Total Residual</c:v>
              </c:pt>
            </c:strLit>
          </c:cat>
          <c:val>
            <c:numRef>
              <c:f>('Total payments of units'!$M$4:$M$12,'Total payments of units'!$O$10)</c:f>
              <c:numCache>
                <c:formatCode>_-[$$-C09]* #,##0.00_-;\-[$$-C09]* #,##0.00_-;_-[$$-C09]* "-"??_-;_-@_-</c:formatCode>
                <c:ptCount val="10"/>
                <c:pt idx="0">
                  <c:v>418.74719760576187</c:v>
                </c:pt>
                <c:pt idx="1">
                  <c:v>-80.211014012997012</c:v>
                </c:pt>
                <c:pt idx="2">
                  <c:v>-113.76235570608969</c:v>
                </c:pt>
                <c:pt idx="3">
                  <c:v>-547.88360725227903</c:v>
                </c:pt>
                <c:pt idx="4">
                  <c:v>1.8018018018018296</c:v>
                </c:pt>
                <c:pt idx="5">
                  <c:v>263.37813692191298</c:v>
                </c:pt>
                <c:pt idx="6">
                  <c:v>-498.03776379118852</c:v>
                </c:pt>
                <c:pt idx="7">
                  <c:v>-388.23529411764707</c:v>
                </c:pt>
                <c:pt idx="8">
                  <c:v>-205.79710144927532</c:v>
                </c:pt>
                <c:pt idx="9">
                  <c:v>-1092.0701593581109</c:v>
                </c:pt>
              </c:numCache>
            </c:numRef>
          </c:val>
          <c:extLst>
            <c:ext xmlns:c16="http://schemas.microsoft.com/office/drawing/2014/chart" uri="{C3380CC4-5D6E-409C-BE32-E72D297353CC}">
              <c16:uniqueId val="{00000000-4BBB-4EE2-BF68-8FACB6261C2C}"/>
            </c:ext>
          </c:extLst>
        </c:ser>
        <c:dLbls>
          <c:showLegendKey val="0"/>
          <c:showVal val="0"/>
          <c:showCatName val="0"/>
          <c:showSerName val="0"/>
          <c:showPercent val="0"/>
          <c:showBubbleSize val="0"/>
        </c:dLbls>
        <c:gapWidth val="224"/>
        <c:overlap val="-27"/>
        <c:axId val="744863384"/>
        <c:axId val="744862072"/>
      </c:barChart>
      <c:catAx>
        <c:axId val="744863384"/>
        <c:scaling>
          <c:orientation val="minMax"/>
        </c:scaling>
        <c:delete val="0"/>
        <c:axPos val="b"/>
        <c:numFmt formatCode="General" sourceLinked="1"/>
        <c:majorTickMark val="none"/>
        <c:minorTickMark val="none"/>
        <c:tickLblPos val="low"/>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200" b="1" i="0" u="none" strike="noStrike" kern="1200" baseline="0">
                <a:solidFill>
                  <a:srgbClr val="6B3077"/>
                </a:solidFill>
                <a:latin typeface="+mn-lt"/>
                <a:ea typeface="+mn-ea"/>
                <a:cs typeface="+mn-cs"/>
              </a:defRPr>
            </a:pPr>
            <a:endParaRPr lang="en-US"/>
          </a:p>
        </c:txPr>
        <c:crossAx val="744862072"/>
        <c:crosses val="autoZero"/>
        <c:auto val="1"/>
        <c:lblAlgn val="ctr"/>
        <c:lblOffset val="0"/>
        <c:noMultiLvlLbl val="0"/>
      </c:catAx>
      <c:valAx>
        <c:axId val="744862072"/>
        <c:scaling>
          <c:orientation val="minMax"/>
        </c:scaling>
        <c:delete val="0"/>
        <c:axPos val="l"/>
        <c:majorGridlines>
          <c:spPr>
            <a:ln w="9525" cap="flat" cmpd="sng" algn="ctr">
              <a:solidFill>
                <a:schemeClr val="bg1">
                  <a:lumMod val="75000"/>
                </a:schemeClr>
              </a:solidFill>
              <a:round/>
            </a:ln>
            <a:effectLst/>
          </c:spPr>
        </c:majorGridlines>
        <c:numFmt formatCode="_-[$$-C09]* #,##0.00_-;\-[$$-C09]* #,##0.00_-;_-[$$-C09]*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6B3077"/>
                </a:solidFill>
                <a:latin typeface="+mn-lt"/>
                <a:ea typeface="+mn-ea"/>
                <a:cs typeface="+mn-cs"/>
              </a:defRPr>
            </a:pPr>
            <a:endParaRPr lang="en-US"/>
          </a:p>
        </c:txPr>
        <c:crossAx val="744863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rgbClr val="6B3077"/>
      </a:solidFill>
      <a:round/>
    </a:ln>
    <a:effectLst/>
  </c:spPr>
  <c:txPr>
    <a:bodyPr/>
    <a:lstStyle/>
    <a:p>
      <a:pPr>
        <a:defRPr sz="1200">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80961</xdr:rowOff>
    </xdr:from>
    <xdr:to>
      <xdr:col>7</xdr:col>
      <xdr:colOff>771525</xdr:colOff>
      <xdr:row>35</xdr:row>
      <xdr:rowOff>171449</xdr:rowOff>
    </xdr:to>
    <xdr:graphicFrame macro="">
      <xdr:nvGraphicFramePr>
        <xdr:cNvPr id="2" name="Chart 1">
          <a:extLst>
            <a:ext uri="{FF2B5EF4-FFF2-40B4-BE49-F238E27FC236}">
              <a16:creationId xmlns:a16="http://schemas.microsoft.com/office/drawing/2014/main" id="{F74F9377-C378-4E06-9C8A-D244A09D34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632BB-DB87-4DC7-8DA8-B81995D95C2D}">
  <dimension ref="A1:A3"/>
  <sheetViews>
    <sheetView tabSelected="1" workbookViewId="0">
      <selection activeCell="A6" sqref="A6"/>
    </sheetView>
  </sheetViews>
  <sheetFormatPr defaultRowHeight="14.45"/>
  <cols>
    <col min="1" max="1" width="140.7109375" customWidth="1"/>
  </cols>
  <sheetData>
    <row r="1" spans="1:1" ht="21">
      <c r="A1" s="92" t="s">
        <v>0</v>
      </c>
    </row>
    <row r="3" spans="1:1" ht="57.95">
      <c r="A3" s="93" t="s">
        <v>1</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5B45C-47DB-48DD-90B8-591B8DA9668E}">
  <dimension ref="A1:B18"/>
  <sheetViews>
    <sheetView showGridLines="0" workbookViewId="0">
      <selection activeCell="A3" sqref="A3"/>
    </sheetView>
  </sheetViews>
  <sheetFormatPr defaultRowHeight="14.45"/>
  <cols>
    <col min="1" max="1" width="36" bestFit="1" customWidth="1"/>
    <col min="2" max="2" width="68.42578125" customWidth="1"/>
  </cols>
  <sheetData>
    <row r="1" spans="1:2" ht="15" thickBot="1">
      <c r="A1" s="82" t="s">
        <v>2</v>
      </c>
      <c r="B1" s="83" t="s">
        <v>3</v>
      </c>
    </row>
    <row r="2" spans="1:2" ht="44.1" thickBot="1">
      <c r="A2" s="84" t="s">
        <v>4</v>
      </c>
      <c r="B2" s="85" t="s">
        <v>5</v>
      </c>
    </row>
    <row r="3" spans="1:2" ht="29.45" thickBot="1">
      <c r="A3" s="84" t="s">
        <v>6</v>
      </c>
      <c r="B3" s="85" t="s">
        <v>7</v>
      </c>
    </row>
    <row r="4" spans="1:2" ht="29.45" thickBot="1">
      <c r="A4" s="84" t="s">
        <v>8</v>
      </c>
      <c r="B4" s="85" t="s">
        <v>9</v>
      </c>
    </row>
    <row r="5" spans="1:2" ht="29.45" thickBot="1">
      <c r="A5" s="84" t="s">
        <v>10</v>
      </c>
      <c r="B5" s="86" t="s">
        <v>11</v>
      </c>
    </row>
    <row r="6" spans="1:2" ht="29.45" thickBot="1">
      <c r="A6" s="84" t="s">
        <v>12</v>
      </c>
      <c r="B6" s="85" t="s">
        <v>13</v>
      </c>
    </row>
    <row r="7" spans="1:2" ht="44.1" thickBot="1">
      <c r="A7" s="84" t="s">
        <v>14</v>
      </c>
      <c r="B7" s="85" t="s">
        <v>15</v>
      </c>
    </row>
    <row r="8" spans="1:2" ht="15" thickBot="1">
      <c r="A8" s="84" t="s">
        <v>16</v>
      </c>
      <c r="B8" s="85" t="s">
        <v>17</v>
      </c>
    </row>
    <row r="9" spans="1:2" ht="15" thickBot="1">
      <c r="A9" s="84" t="s">
        <v>18</v>
      </c>
      <c r="B9" s="85" t="s">
        <v>19</v>
      </c>
    </row>
    <row r="10" spans="1:2" ht="44.1" thickBot="1">
      <c r="A10" s="84" t="s">
        <v>20</v>
      </c>
      <c r="B10" s="85" t="s">
        <v>21</v>
      </c>
    </row>
    <row r="11" spans="1:2" ht="15" thickBot="1">
      <c r="A11" s="84" t="s">
        <v>22</v>
      </c>
      <c r="B11" s="85" t="s">
        <v>23</v>
      </c>
    </row>
    <row r="12" spans="1:2" ht="15" thickBot="1">
      <c r="A12" s="84" t="s">
        <v>24</v>
      </c>
      <c r="B12" s="86" t="s">
        <v>25</v>
      </c>
    </row>
    <row r="13" spans="1:2" ht="15" thickBot="1">
      <c r="A13" s="84" t="s">
        <v>26</v>
      </c>
      <c r="B13" s="85" t="s">
        <v>27</v>
      </c>
    </row>
    <row r="14" spans="1:2" ht="15" thickBot="1">
      <c r="A14" s="84" t="s">
        <v>28</v>
      </c>
      <c r="B14" s="85" t="s">
        <v>29</v>
      </c>
    </row>
    <row r="15" spans="1:2" ht="29.45" thickBot="1">
      <c r="A15" s="84" t="s">
        <v>30</v>
      </c>
      <c r="B15" s="85" t="s">
        <v>31</v>
      </c>
    </row>
    <row r="16" spans="1:2" ht="29.45" thickBot="1">
      <c r="A16" s="84" t="s">
        <v>32</v>
      </c>
      <c r="B16" s="85" t="s">
        <v>33</v>
      </c>
    </row>
    <row r="17" spans="1:2" ht="29.45" thickBot="1">
      <c r="A17" s="84" t="s">
        <v>34</v>
      </c>
      <c r="B17" s="87" t="s">
        <v>35</v>
      </c>
    </row>
    <row r="18" spans="1:2">
      <c r="A18" s="1"/>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842B8-AC23-4210-B086-61CB39D688C8}">
  <dimension ref="B1:N55"/>
  <sheetViews>
    <sheetView showGridLines="0" zoomScale="90" zoomScaleNormal="90" workbookViewId="0">
      <selection activeCell="B17" sqref="B17:G19"/>
    </sheetView>
  </sheetViews>
  <sheetFormatPr defaultColWidth="8.85546875" defaultRowHeight="14.45"/>
  <cols>
    <col min="1" max="1" width="3.140625" style="2" customWidth="1"/>
    <col min="2" max="2" width="8.85546875" style="2"/>
    <col min="3" max="3" width="14.85546875" style="2" bestFit="1" customWidth="1"/>
    <col min="4" max="4" width="13.85546875" style="2" customWidth="1"/>
    <col min="5" max="5" width="14.5703125" style="2" customWidth="1"/>
    <col min="6" max="6" width="16.28515625" style="2" customWidth="1"/>
    <col min="7" max="7" width="18.5703125" style="2" customWidth="1"/>
    <col min="8" max="8" width="5.85546875" style="2" customWidth="1"/>
    <col min="9" max="9" width="15.5703125" style="2" customWidth="1"/>
    <col min="10" max="10" width="22.5703125" style="2" bestFit="1" customWidth="1"/>
    <col min="11" max="11" width="13.85546875" style="2" customWidth="1"/>
    <col min="12" max="12" width="9" style="2" customWidth="1"/>
    <col min="13" max="13" width="10" style="2" customWidth="1"/>
    <col min="14" max="14" width="7.42578125" style="2" customWidth="1"/>
    <col min="15" max="15" width="13.42578125" style="2" customWidth="1"/>
    <col min="16" max="16" width="10.42578125" style="2" customWidth="1"/>
    <col min="17" max="17" width="8.85546875" style="2"/>
    <col min="18" max="18" width="12.5703125" style="2" customWidth="1"/>
    <col min="19" max="19" width="10.85546875" style="2" customWidth="1"/>
    <col min="20" max="20" width="10.5703125" style="2" customWidth="1"/>
    <col min="21" max="16384" width="8.85546875" style="2"/>
  </cols>
  <sheetData>
    <row r="1" spans="2:14" ht="15" thickBot="1"/>
    <row r="2" spans="2:14" ht="44.25" customHeight="1" thickTop="1">
      <c r="B2" s="3" t="s">
        <v>36</v>
      </c>
      <c r="C2" s="4" t="s">
        <v>37</v>
      </c>
      <c r="D2" s="5" t="s">
        <v>38</v>
      </c>
      <c r="E2" s="5" t="s">
        <v>39</v>
      </c>
      <c r="F2" s="5" t="s">
        <v>40</v>
      </c>
      <c r="G2" s="6" t="s">
        <v>41</v>
      </c>
      <c r="H2" s="7"/>
      <c r="I2" s="3" t="s">
        <v>26</v>
      </c>
      <c r="J2" s="5" t="s">
        <v>42</v>
      </c>
      <c r="K2" s="5" t="s">
        <v>43</v>
      </c>
      <c r="L2" s="5" t="s">
        <v>44</v>
      </c>
      <c r="M2" s="5" t="s">
        <v>45</v>
      </c>
      <c r="N2" s="6" t="s">
        <v>30</v>
      </c>
    </row>
    <row r="3" spans="2:14" ht="12.6" customHeight="1">
      <c r="B3" s="97" t="s">
        <v>46</v>
      </c>
      <c r="C3" s="8" t="s">
        <v>47</v>
      </c>
      <c r="D3" s="9">
        <v>120</v>
      </c>
      <c r="E3" s="9">
        <v>50</v>
      </c>
      <c r="F3" s="9">
        <v>-1200</v>
      </c>
      <c r="G3" s="10">
        <v>-600</v>
      </c>
      <c r="I3" s="11" t="s">
        <v>48</v>
      </c>
      <c r="J3" s="8" t="s">
        <v>49</v>
      </c>
      <c r="K3" s="9">
        <v>120</v>
      </c>
      <c r="L3" s="9">
        <v>-40</v>
      </c>
      <c r="M3" s="9">
        <v>150</v>
      </c>
      <c r="N3" s="10">
        <v>0.8</v>
      </c>
    </row>
    <row r="4" spans="2:14" ht="12.6" customHeight="1">
      <c r="B4" s="98"/>
      <c r="C4" s="12" t="s">
        <v>50</v>
      </c>
      <c r="D4" s="13">
        <v>-50</v>
      </c>
      <c r="E4" s="13">
        <v>150</v>
      </c>
      <c r="F4" s="13">
        <v>-300</v>
      </c>
      <c r="G4" s="14">
        <v>-300</v>
      </c>
      <c r="I4" s="15" t="s">
        <v>51</v>
      </c>
      <c r="J4" s="12" t="s">
        <v>52</v>
      </c>
      <c r="K4" s="13">
        <v>50</v>
      </c>
      <c r="L4" s="13">
        <v>-60</v>
      </c>
      <c r="M4" s="13">
        <v>60</v>
      </c>
      <c r="N4" s="14">
        <v>1</v>
      </c>
    </row>
    <row r="5" spans="2:14" ht="12.95" customHeight="1" thickBot="1">
      <c r="B5" s="98"/>
      <c r="C5" s="16" t="s">
        <v>53</v>
      </c>
      <c r="D5" s="9">
        <v>50</v>
      </c>
      <c r="E5" s="9">
        <v>-100</v>
      </c>
      <c r="F5" s="9">
        <v>200</v>
      </c>
      <c r="G5" s="10">
        <v>-200</v>
      </c>
      <c r="I5" s="17" t="s">
        <v>54</v>
      </c>
      <c r="J5" s="18" t="s">
        <v>55</v>
      </c>
      <c r="K5" s="19">
        <v>100</v>
      </c>
      <c r="L5" s="19">
        <v>-60</v>
      </c>
      <c r="M5" s="19">
        <v>80</v>
      </c>
      <c r="N5" s="20">
        <v>0.8</v>
      </c>
    </row>
    <row r="6" spans="2:14" ht="15" thickTop="1">
      <c r="B6" s="101" t="s">
        <v>56</v>
      </c>
      <c r="C6" s="102"/>
      <c r="D6" s="13">
        <v>-120</v>
      </c>
      <c r="E6" s="13">
        <v>-100</v>
      </c>
      <c r="F6" s="13">
        <v>-2000</v>
      </c>
      <c r="G6" s="14">
        <v>-2500</v>
      </c>
    </row>
    <row r="7" spans="2:14" ht="12.6" customHeight="1">
      <c r="B7" s="97" t="s">
        <v>57</v>
      </c>
      <c r="C7" s="8" t="s">
        <v>58</v>
      </c>
      <c r="D7" s="9">
        <v>-120</v>
      </c>
      <c r="E7" s="9">
        <v>-100</v>
      </c>
      <c r="F7" s="9">
        <v>-600</v>
      </c>
      <c r="G7" s="10">
        <v>-600</v>
      </c>
    </row>
    <row r="8" spans="2:14">
      <c r="B8" s="98"/>
      <c r="C8" s="12" t="s">
        <v>59</v>
      </c>
      <c r="D8" s="13">
        <v>100</v>
      </c>
      <c r="E8" s="13">
        <v>-50</v>
      </c>
      <c r="F8" s="13">
        <v>50</v>
      </c>
      <c r="G8" s="14">
        <v>200</v>
      </c>
      <c r="I8" s="96" t="s">
        <v>60</v>
      </c>
      <c r="J8" s="96"/>
      <c r="K8" s="96"/>
    </row>
    <row r="9" spans="2:14">
      <c r="B9" s="98"/>
      <c r="C9" s="16" t="s">
        <v>61</v>
      </c>
      <c r="D9" s="9">
        <v>100</v>
      </c>
      <c r="E9" s="9">
        <v>100</v>
      </c>
      <c r="F9" s="9">
        <v>-200</v>
      </c>
      <c r="G9" s="10">
        <v>-200</v>
      </c>
      <c r="I9" s="96" t="s">
        <v>62</v>
      </c>
      <c r="J9" s="96"/>
      <c r="K9" s="96"/>
    </row>
    <row r="10" spans="2:14" ht="15" thickBot="1">
      <c r="B10" s="99" t="s">
        <v>63</v>
      </c>
      <c r="C10" s="100"/>
      <c r="D10" s="21">
        <v>-80</v>
      </c>
      <c r="E10" s="21">
        <v>50</v>
      </c>
      <c r="F10" s="21">
        <v>-3000</v>
      </c>
      <c r="G10" s="22">
        <v>-2500</v>
      </c>
    </row>
    <row r="11" spans="2:14" ht="15" thickTop="1"/>
    <row r="12" spans="2:14" ht="9" customHeight="1">
      <c r="B12" s="95" t="s">
        <v>64</v>
      </c>
      <c r="C12" s="95"/>
      <c r="D12" s="95"/>
      <c r="E12" s="95"/>
      <c r="F12" s="95"/>
      <c r="G12" s="95"/>
    </row>
    <row r="13" spans="2:14" ht="5.45" customHeight="1">
      <c r="B13" s="95"/>
      <c r="C13" s="95"/>
      <c r="D13" s="95"/>
      <c r="E13" s="95"/>
      <c r="F13" s="95"/>
      <c r="G13" s="95"/>
    </row>
    <row r="14" spans="2:14" ht="15.75" customHeight="1">
      <c r="B14" s="95"/>
      <c r="C14" s="95"/>
      <c r="D14" s="95"/>
      <c r="E14" s="95"/>
      <c r="F14" s="95"/>
      <c r="G14" s="95"/>
    </row>
    <row r="15" spans="2:14" ht="0.6" customHeight="1">
      <c r="B15" s="95"/>
      <c r="C15" s="95"/>
      <c r="D15" s="95"/>
      <c r="E15" s="95"/>
      <c r="F15" s="95"/>
      <c r="G15" s="95"/>
    </row>
    <row r="16" spans="2:14" ht="13.35" customHeight="1"/>
    <row r="17" spans="2:7" s="7" customFormat="1" ht="33.75" customHeight="1">
      <c r="B17" s="94" t="s">
        <v>65</v>
      </c>
      <c r="C17" s="95"/>
      <c r="D17" s="95"/>
      <c r="E17" s="95"/>
      <c r="F17" s="95"/>
      <c r="G17" s="95"/>
    </row>
    <row r="18" spans="2:7" ht="28.5" customHeight="1">
      <c r="B18" s="95"/>
      <c r="C18" s="95"/>
      <c r="D18" s="95"/>
      <c r="E18" s="95"/>
      <c r="F18" s="95"/>
      <c r="G18" s="95"/>
    </row>
    <row r="19" spans="2:7" ht="27" customHeight="1">
      <c r="B19" s="95"/>
      <c r="C19" s="95"/>
      <c r="D19" s="95"/>
      <c r="E19" s="95"/>
      <c r="F19" s="95"/>
      <c r="G19" s="95"/>
    </row>
    <row r="20" spans="2:7" ht="12.75" customHeight="1">
      <c r="G20" s="23"/>
    </row>
    <row r="21" spans="2:7" ht="12.75" customHeight="1">
      <c r="G21" s="23"/>
    </row>
    <row r="22" spans="2:7" ht="12.75" customHeight="1">
      <c r="G22" s="23"/>
    </row>
    <row r="23" spans="2:7">
      <c r="G23" s="23"/>
    </row>
    <row r="24" spans="2:7">
      <c r="G24" s="23"/>
    </row>
    <row r="25" spans="2:7">
      <c r="G25" s="23"/>
    </row>
    <row r="26" spans="2:7">
      <c r="G26" s="23"/>
    </row>
    <row r="29" spans="2:7" s="24" customFormat="1"/>
    <row r="33" spans="7:7" s="7" customFormat="1"/>
    <row r="34" spans="7:7">
      <c r="G34" s="23"/>
    </row>
    <row r="35" spans="7:7">
      <c r="G35" s="23"/>
    </row>
    <row r="36" spans="7:7">
      <c r="G36" s="23"/>
    </row>
    <row r="37" spans="7:7">
      <c r="G37" s="23"/>
    </row>
    <row r="38" spans="7:7">
      <c r="G38" s="23"/>
    </row>
    <row r="42" spans="7:7" s="24" customFormat="1"/>
    <row r="46" spans="7:7" s="7" customFormat="1"/>
    <row r="47" spans="7:7">
      <c r="G47" s="23"/>
    </row>
    <row r="48" spans="7:7">
      <c r="G48" s="23"/>
    </row>
    <row r="49" spans="7:7">
      <c r="G49" s="23"/>
    </row>
    <row r="50" spans="7:7">
      <c r="G50" s="23"/>
    </row>
    <row r="51" spans="7:7">
      <c r="G51" s="23"/>
    </row>
    <row r="52" spans="7:7">
      <c r="G52" s="23"/>
    </row>
    <row r="53" spans="7:7">
      <c r="G53" s="23"/>
    </row>
    <row r="54" spans="7:7">
      <c r="G54" s="23"/>
    </row>
    <row r="55" spans="7:7">
      <c r="G55" s="23"/>
    </row>
  </sheetData>
  <sortState xmlns:xlrd2="http://schemas.microsoft.com/office/spreadsheetml/2017/richdata2" ref="M46:M53">
    <sortCondition ref="M46:M53"/>
  </sortState>
  <mergeCells count="8">
    <mergeCell ref="B17:G19"/>
    <mergeCell ref="B12:G15"/>
    <mergeCell ref="I8:K8"/>
    <mergeCell ref="I9:K9"/>
    <mergeCell ref="B3:B5"/>
    <mergeCell ref="B7:B9"/>
    <mergeCell ref="B10:C10"/>
    <mergeCell ref="B6:C6"/>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6E54-7678-4E16-8028-54C38AD7A58F}">
  <dimension ref="A1:O10"/>
  <sheetViews>
    <sheetView showGridLines="0" workbookViewId="0">
      <selection activeCell="C8" sqref="C8"/>
    </sheetView>
  </sheetViews>
  <sheetFormatPr defaultColWidth="8.85546875" defaultRowHeight="14.45"/>
  <cols>
    <col min="1" max="1" width="2.7109375" style="25" customWidth="1"/>
    <col min="2" max="2" width="7.42578125" style="26" bestFit="1" customWidth="1"/>
    <col min="3" max="3" width="18.5703125" style="25" customWidth="1"/>
    <col min="4" max="4" width="18.42578125" style="25" customWidth="1"/>
    <col min="5" max="5" width="19.140625" style="25" customWidth="1"/>
    <col min="6" max="6" width="3.140625" style="25" customWidth="1"/>
    <col min="7" max="7" width="1.5703125" style="25" customWidth="1"/>
    <col min="8" max="8" width="4.85546875" style="25" customWidth="1"/>
    <col min="9" max="9" width="18.42578125" style="26" customWidth="1"/>
    <col min="10" max="10" width="18.5703125" style="25" customWidth="1"/>
    <col min="11" max="11" width="9.42578125" style="25" customWidth="1"/>
    <col min="12" max="12" width="18.42578125" style="25" customWidth="1"/>
    <col min="13" max="13" width="18.85546875" style="25" customWidth="1"/>
    <col min="14" max="16384" width="8.85546875" style="25"/>
  </cols>
  <sheetData>
    <row r="1" spans="1:15" ht="15" thickBot="1"/>
    <row r="2" spans="1:15" ht="34.5" customHeight="1" thickTop="1">
      <c r="B2" s="3" t="s">
        <v>36</v>
      </c>
      <c r="C2" s="5" t="s">
        <v>66</v>
      </c>
      <c r="D2" s="5" t="s">
        <v>67</v>
      </c>
      <c r="E2" s="6" t="s">
        <v>68</v>
      </c>
      <c r="F2" s="27"/>
      <c r="G2" s="26"/>
      <c r="H2" s="26"/>
      <c r="I2" s="3" t="s">
        <v>26</v>
      </c>
      <c r="J2" s="5" t="s">
        <v>69</v>
      </c>
      <c r="K2" s="5" t="s">
        <v>30</v>
      </c>
      <c r="L2" s="5" t="s">
        <v>70</v>
      </c>
      <c r="M2" s="6" t="s">
        <v>71</v>
      </c>
    </row>
    <row r="3" spans="1:15">
      <c r="B3" s="28" t="s">
        <v>46</v>
      </c>
      <c r="C3" s="29">
        <f>-1*('Input data'!L3+'Input data'!L4)</f>
        <v>100</v>
      </c>
      <c r="D3" s="29">
        <f>'Input data'!K4</f>
        <v>50</v>
      </c>
      <c r="E3" s="30">
        <f>C3*D3/12</f>
        <v>416.66666666666669</v>
      </c>
      <c r="I3" s="28" t="s">
        <v>48</v>
      </c>
      <c r="J3" s="29">
        <f>-'Input data'!K3*'Input data'!L3/12</f>
        <v>400</v>
      </c>
      <c r="K3" s="29">
        <f>'Input data'!N3</f>
        <v>0.8</v>
      </c>
      <c r="L3" s="29">
        <f>J3*K3</f>
        <v>320</v>
      </c>
      <c r="M3" s="30">
        <f>J3*(1-K3)</f>
        <v>79.999999999999986</v>
      </c>
    </row>
    <row r="4" spans="1:15" ht="15" thickBot="1">
      <c r="B4" s="31" t="s">
        <v>57</v>
      </c>
      <c r="C4" s="32">
        <f>-'Input data'!L3</f>
        <v>40</v>
      </c>
      <c r="D4" s="32">
        <f>'Input data'!K3-'Input data'!K4</f>
        <v>70</v>
      </c>
      <c r="E4" s="33">
        <f>C4*D4/12</f>
        <v>233.33333333333334</v>
      </c>
      <c r="I4" s="31" t="s">
        <v>51</v>
      </c>
      <c r="J4" s="32">
        <f>-'Input data'!K4*'Input data'!L4/12</f>
        <v>250</v>
      </c>
      <c r="K4" s="32">
        <f>'Input data'!N4</f>
        <v>1</v>
      </c>
      <c r="L4" s="32">
        <f>J4*K4</f>
        <v>250</v>
      </c>
      <c r="M4" s="33">
        <f>J4*(1-K4)</f>
        <v>0</v>
      </c>
    </row>
    <row r="5" spans="1:15" ht="15" thickTop="1">
      <c r="A5" s="88"/>
      <c r="B5" s="89"/>
      <c r="C5" s="88"/>
      <c r="D5" s="88"/>
      <c r="E5" s="88"/>
      <c r="F5" s="88"/>
      <c r="G5" s="88"/>
      <c r="H5" s="88"/>
      <c r="I5" s="89"/>
      <c r="J5" s="88"/>
      <c r="K5" s="88"/>
      <c r="L5" s="88"/>
      <c r="M5" s="88"/>
      <c r="N5" s="88"/>
      <c r="O5" s="88"/>
    </row>
    <row r="6" spans="1:15" ht="15" thickBot="1">
      <c r="A6" s="90"/>
      <c r="B6" s="90"/>
      <c r="C6" s="88"/>
      <c r="D6" s="88"/>
      <c r="E6" s="88"/>
      <c r="F6" s="88"/>
      <c r="G6" s="88"/>
      <c r="H6" s="88"/>
      <c r="I6" s="90"/>
      <c r="J6" s="88"/>
      <c r="K6" s="88"/>
      <c r="L6" s="88"/>
      <c r="M6" s="88"/>
      <c r="N6" s="88"/>
      <c r="O6" s="88"/>
    </row>
    <row r="7" spans="1:15" ht="29.1">
      <c r="B7" s="3" t="s">
        <v>36</v>
      </c>
      <c r="C7" s="5" t="s">
        <v>72</v>
      </c>
      <c r="D7" s="5" t="s">
        <v>73</v>
      </c>
      <c r="E7" s="6" t="s">
        <v>74</v>
      </c>
      <c r="F7" s="27"/>
      <c r="G7" s="26"/>
      <c r="H7" s="26"/>
      <c r="I7" s="3" t="s">
        <v>26</v>
      </c>
      <c r="J7" s="5" t="s">
        <v>69</v>
      </c>
      <c r="K7" s="5" t="s">
        <v>30</v>
      </c>
      <c r="L7" s="5" t="s">
        <v>70</v>
      </c>
      <c r="M7" s="6" t="s">
        <v>71</v>
      </c>
    </row>
    <row r="8" spans="1:15" ht="15" thickBot="1">
      <c r="B8" s="31" t="s">
        <v>75</v>
      </c>
      <c r="C8" s="34">
        <f>-'Input data'!L5</f>
        <v>60</v>
      </c>
      <c r="D8" s="34">
        <f>'Input data'!K5</f>
        <v>100</v>
      </c>
      <c r="E8" s="35">
        <f>C8*D8/12</f>
        <v>500</v>
      </c>
      <c r="I8" s="31" t="s">
        <v>54</v>
      </c>
      <c r="J8" s="36">
        <f>-'Input data'!K5*'Input data'!L5/12</f>
        <v>500</v>
      </c>
      <c r="K8" s="36">
        <f>'Input data'!N5</f>
        <v>0.8</v>
      </c>
      <c r="L8" s="36">
        <f>J8*K8</f>
        <v>400</v>
      </c>
      <c r="M8" s="37">
        <f>J8*(1-K8)</f>
        <v>99.999999999999972</v>
      </c>
    </row>
    <row r="9" spans="1:15" ht="15" thickTop="1"/>
    <row r="10" spans="1:15" s="26" customForma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C0F0-9883-4DAC-8476-BD8CD4700F6D}">
  <dimension ref="B1:R16"/>
  <sheetViews>
    <sheetView showGridLines="0" topLeftCell="B1" zoomScaleNormal="100" workbookViewId="0">
      <selection activeCell="E20" sqref="E20"/>
    </sheetView>
  </sheetViews>
  <sheetFormatPr defaultColWidth="8.85546875" defaultRowHeight="14.45"/>
  <cols>
    <col min="1" max="1" width="3.42578125" style="25" customWidth="1"/>
    <col min="2" max="2" width="12.85546875" style="25" customWidth="1"/>
    <col min="3" max="3" width="21.140625" style="25" customWidth="1"/>
    <col min="4" max="4" width="13.7109375" style="25" customWidth="1"/>
    <col min="5" max="5" width="6.85546875" style="25" customWidth="1"/>
    <col min="6" max="6" width="9.85546875" style="25" customWidth="1"/>
    <col min="7" max="7" width="4.140625" style="25" customWidth="1"/>
    <col min="8" max="8" width="12.140625" style="25" bestFit="1" customWidth="1"/>
    <col min="9" max="9" width="21.5703125" style="25" customWidth="1"/>
    <col min="10" max="10" width="14" style="25" customWidth="1"/>
    <col min="11" max="11" width="7.5703125" style="25" customWidth="1"/>
    <col min="12" max="12" width="11.42578125" style="25" customWidth="1"/>
    <col min="13" max="13" width="4.140625" style="25" customWidth="1"/>
    <col min="14" max="14" width="12.140625" style="25" bestFit="1" customWidth="1"/>
    <col min="15" max="15" width="21.85546875" style="25" customWidth="1"/>
    <col min="16" max="16" width="14.42578125" style="25" customWidth="1"/>
    <col min="17" max="17" width="7.85546875" style="25" customWidth="1"/>
    <col min="18" max="18" width="10.42578125" style="25" customWidth="1"/>
    <col min="19" max="16384" width="8.85546875" style="25"/>
  </cols>
  <sheetData>
    <row r="1" spans="2:18" ht="15" thickBot="1"/>
    <row r="2" spans="2:18" ht="15.95" thickTop="1">
      <c r="B2" s="105" t="s">
        <v>76</v>
      </c>
      <c r="C2" s="106"/>
      <c r="D2" s="106"/>
      <c r="E2" s="106"/>
      <c r="F2" s="107"/>
      <c r="G2" s="38"/>
      <c r="H2" s="105" t="s">
        <v>77</v>
      </c>
      <c r="I2" s="106"/>
      <c r="J2" s="106"/>
      <c r="K2" s="106"/>
      <c r="L2" s="107"/>
      <c r="M2" s="38"/>
      <c r="N2" s="105" t="s">
        <v>78</v>
      </c>
      <c r="O2" s="106"/>
      <c r="P2" s="106"/>
      <c r="Q2" s="106"/>
      <c r="R2" s="107"/>
    </row>
    <row r="3" spans="2:18" ht="15.6">
      <c r="B3" s="108"/>
      <c r="C3" s="109"/>
      <c r="D3" s="109"/>
      <c r="E3" s="109"/>
      <c r="F3" s="110"/>
      <c r="G3" s="38"/>
      <c r="H3" s="108"/>
      <c r="I3" s="109"/>
      <c r="J3" s="109"/>
      <c r="K3" s="109"/>
      <c r="L3" s="110"/>
      <c r="M3" s="38"/>
      <c r="N3" s="108"/>
      <c r="O3" s="109"/>
      <c r="P3" s="109"/>
      <c r="Q3" s="109"/>
      <c r="R3" s="110"/>
    </row>
    <row r="4" spans="2:18">
      <c r="B4" s="111" t="s">
        <v>79</v>
      </c>
      <c r="C4" s="112"/>
      <c r="D4" s="103">
        <f>SUMIF(D8:D14,"&gt;0",D8:D14)</f>
        <v>370</v>
      </c>
      <c r="E4" s="103"/>
      <c r="F4" s="104"/>
      <c r="H4" s="111" t="s">
        <v>79</v>
      </c>
      <c r="I4" s="112"/>
      <c r="J4" s="103">
        <f>SUMIF(J8:J11,"&gt;0",J8:J11)</f>
        <v>170</v>
      </c>
      <c r="K4" s="103"/>
      <c r="L4" s="104"/>
      <c r="N4" s="111" t="s">
        <v>80</v>
      </c>
      <c r="O4" s="112"/>
      <c r="P4" s="103">
        <f>SUMIF(P8:P14,"&gt;0", P8:P14)</f>
        <v>300</v>
      </c>
      <c r="Q4" s="103"/>
      <c r="R4" s="104"/>
    </row>
    <row r="5" spans="2:18">
      <c r="B5" s="111" t="s">
        <v>81</v>
      </c>
      <c r="C5" s="112"/>
      <c r="D5" s="103">
        <f>SUMIF(D8:D14,"&lt;0",D8:D14)</f>
        <v>-370</v>
      </c>
      <c r="E5" s="103"/>
      <c r="F5" s="104"/>
      <c r="H5" s="111" t="s">
        <v>81</v>
      </c>
      <c r="I5" s="112"/>
      <c r="J5" s="103">
        <f>SUMIF(J8:J11,"&lt;0",J8:J11)</f>
        <v>-170</v>
      </c>
      <c r="K5" s="103"/>
      <c r="L5" s="104"/>
      <c r="N5" s="111" t="s">
        <v>82</v>
      </c>
      <c r="O5" s="112"/>
      <c r="P5" s="103">
        <f>SUMIF(P8:P14,"&lt;0", P8:P14)</f>
        <v>-300</v>
      </c>
      <c r="Q5" s="103"/>
      <c r="R5" s="104"/>
    </row>
    <row r="6" spans="2:18">
      <c r="B6" s="113"/>
      <c r="C6" s="114"/>
      <c r="D6" s="114"/>
      <c r="E6" s="114"/>
      <c r="F6" s="115"/>
      <c r="H6" s="113"/>
      <c r="I6" s="114"/>
      <c r="J6" s="114"/>
      <c r="K6" s="114"/>
      <c r="L6" s="115"/>
      <c r="N6" s="113"/>
      <c r="O6" s="114"/>
      <c r="P6" s="114"/>
      <c r="Q6" s="114"/>
      <c r="R6" s="115"/>
    </row>
    <row r="7" spans="2:18" s="2" customFormat="1" ht="43.5">
      <c r="B7" s="40" t="s">
        <v>36</v>
      </c>
      <c r="C7" s="41" t="s">
        <v>37</v>
      </c>
      <c r="D7" s="42" t="s">
        <v>38</v>
      </c>
      <c r="E7" s="42" t="s">
        <v>83</v>
      </c>
      <c r="F7" s="43" t="s">
        <v>84</v>
      </c>
      <c r="G7" s="7"/>
      <c r="H7" s="40" t="s">
        <v>36</v>
      </c>
      <c r="I7" s="41" t="s">
        <v>37</v>
      </c>
      <c r="J7" s="42" t="s">
        <v>38</v>
      </c>
      <c r="K7" s="42" t="s">
        <v>83</v>
      </c>
      <c r="L7" s="43" t="s">
        <v>84</v>
      </c>
      <c r="M7" s="44"/>
      <c r="N7" s="40" t="s">
        <v>36</v>
      </c>
      <c r="O7" s="41" t="s">
        <v>37</v>
      </c>
      <c r="P7" s="42" t="s">
        <v>39</v>
      </c>
      <c r="Q7" s="42" t="s">
        <v>83</v>
      </c>
      <c r="R7" s="43" t="s">
        <v>84</v>
      </c>
    </row>
    <row r="8" spans="2:18">
      <c r="B8" s="116" t="s">
        <v>46</v>
      </c>
      <c r="C8" s="45" t="s">
        <v>47</v>
      </c>
      <c r="D8" s="45">
        <f>'Input data'!D3</f>
        <v>120</v>
      </c>
      <c r="E8" s="45">
        <f t="shared" ref="E8:E14" si="0">IF(D8&gt; 0,D8/$D$4,-D8/$D$5)</f>
        <v>0.32432432432432434</v>
      </c>
      <c r="F8" s="46">
        <f>E8*(-'Input data'!$L$3/12)*'Input data'!$M$3</f>
        <v>162.16216216216216</v>
      </c>
      <c r="H8" s="116" t="s">
        <v>46</v>
      </c>
      <c r="I8" s="45" t="s">
        <v>47</v>
      </c>
      <c r="J8" s="45">
        <f>'Input data'!D3</f>
        <v>120</v>
      </c>
      <c r="K8" s="45">
        <f>IF(J8&gt; 0,J8/$J$4,-J8/$J$5)</f>
        <v>0.70588235294117652</v>
      </c>
      <c r="L8" s="46">
        <f>K8*(-'Input data'!$L$4/12)*'Input data'!$M$4</f>
        <v>211.76470588235296</v>
      </c>
      <c r="N8" s="116" t="s">
        <v>46</v>
      </c>
      <c r="O8" s="45" t="s">
        <v>47</v>
      </c>
      <c r="P8" s="45">
        <f>'Input data'!E3</f>
        <v>50</v>
      </c>
      <c r="Q8" s="45">
        <f t="shared" ref="Q8:Q14" si="1">IF(P8&gt; 0,P8/$P$4,-P8/$P$5)</f>
        <v>0.16666666666666666</v>
      </c>
      <c r="R8" s="46">
        <f>Q8*(-'Input data'!$L$5/12)*'Input data'!$M$5</f>
        <v>66.666666666666657</v>
      </c>
    </row>
    <row r="9" spans="2:18">
      <c r="B9" s="116"/>
      <c r="C9" s="47" t="s">
        <v>50</v>
      </c>
      <c r="D9" s="47">
        <f>'Input data'!D4</f>
        <v>-50</v>
      </c>
      <c r="E9" s="47">
        <f t="shared" si="0"/>
        <v>-0.13513513513513514</v>
      </c>
      <c r="F9" s="48">
        <f>E9*(-'Input data'!$L$3/12)*'Input data'!$M$3</f>
        <v>-67.567567567567579</v>
      </c>
      <c r="H9" s="116"/>
      <c r="I9" s="47" t="s">
        <v>50</v>
      </c>
      <c r="J9" s="47">
        <f>'Input data'!D4</f>
        <v>-50</v>
      </c>
      <c r="K9" s="47">
        <f>IF(J9&gt; 0,J9/$J$4,-J9/$J$5)</f>
        <v>-0.29411764705882354</v>
      </c>
      <c r="L9" s="48">
        <f>K9*(-'Input data'!$L$4/12)*'Input data'!$M$4</f>
        <v>-88.235294117647072</v>
      </c>
      <c r="N9" s="116"/>
      <c r="O9" s="47" t="s">
        <v>50</v>
      </c>
      <c r="P9" s="47">
        <f>'Input data'!E4</f>
        <v>150</v>
      </c>
      <c r="Q9" s="47">
        <f t="shared" si="1"/>
        <v>0.5</v>
      </c>
      <c r="R9" s="48">
        <f>Q9*(-'Input data'!$L$5/12)*'Input data'!$M$5</f>
        <v>200</v>
      </c>
    </row>
    <row r="10" spans="2:18">
      <c r="B10" s="116"/>
      <c r="C10" s="45" t="s">
        <v>53</v>
      </c>
      <c r="D10" s="45">
        <f>'Input data'!D5</f>
        <v>50</v>
      </c>
      <c r="E10" s="45">
        <f t="shared" si="0"/>
        <v>0.13513513513513514</v>
      </c>
      <c r="F10" s="46">
        <f>E10*(-'Input data'!$L$3/12)*'Input data'!$M$3</f>
        <v>67.567567567567579</v>
      </c>
      <c r="H10" s="116"/>
      <c r="I10" s="45" t="s">
        <v>53</v>
      </c>
      <c r="J10" s="45">
        <f>'Input data'!D5</f>
        <v>50</v>
      </c>
      <c r="K10" s="45">
        <f>IF(J10&gt; 0,J10/$J$4,-J10/$J$5)</f>
        <v>0.29411764705882354</v>
      </c>
      <c r="L10" s="46">
        <f>K10*(-'Input data'!$L$4/12)*'Input data'!$M$4</f>
        <v>88.235294117647072</v>
      </c>
      <c r="N10" s="116"/>
      <c r="O10" s="45" t="s">
        <v>53</v>
      </c>
      <c r="P10" s="45">
        <f>'Input data'!E5</f>
        <v>-100</v>
      </c>
      <c r="Q10" s="45">
        <f t="shared" si="1"/>
        <v>-0.33333333333333331</v>
      </c>
      <c r="R10" s="46">
        <f>Q10*(-'Input data'!$L$5/12)*'Input data'!$M$5</f>
        <v>-133.33333333333331</v>
      </c>
    </row>
    <row r="11" spans="2:18">
      <c r="B11" s="116" t="s">
        <v>57</v>
      </c>
      <c r="C11" s="47" t="s">
        <v>58</v>
      </c>
      <c r="D11" s="47">
        <f>'Input data'!D7</f>
        <v>-120</v>
      </c>
      <c r="E11" s="47">
        <f t="shared" si="0"/>
        <v>-0.32432432432432434</v>
      </c>
      <c r="F11" s="48">
        <f>E11*(-'Input data'!$L$3/12)*'Input data'!$M$3</f>
        <v>-162.16216216216216</v>
      </c>
      <c r="H11" s="116" t="s">
        <v>85</v>
      </c>
      <c r="I11" s="117"/>
      <c r="J11" s="47">
        <f>'Input data'!D6</f>
        <v>-120</v>
      </c>
      <c r="K11" s="47">
        <f>IF(J11&gt; 0,J11/$J$4,-J11/$J$5)</f>
        <v>-0.70588235294117652</v>
      </c>
      <c r="L11" s="48">
        <f>K11*(-'Input data'!$L$4/12)*'Input data'!$M$4</f>
        <v>-211.76470588235296</v>
      </c>
      <c r="N11" s="116" t="s">
        <v>57</v>
      </c>
      <c r="O11" s="47" t="s">
        <v>58</v>
      </c>
      <c r="P11" s="47">
        <f>'Input data'!E7</f>
        <v>-100</v>
      </c>
      <c r="Q11" s="47">
        <f t="shared" si="1"/>
        <v>-0.33333333333333331</v>
      </c>
      <c r="R11" s="48">
        <f>Q11*(-'Input data'!$L$5/12)*'Input data'!$M$5</f>
        <v>-133.33333333333331</v>
      </c>
    </row>
    <row r="12" spans="2:18" ht="15" thickBot="1">
      <c r="B12" s="116"/>
      <c r="C12" s="45" t="s">
        <v>59</v>
      </c>
      <c r="D12" s="45">
        <f>'Input data'!D8</f>
        <v>100</v>
      </c>
      <c r="E12" s="45">
        <f t="shared" si="0"/>
        <v>0.27027027027027029</v>
      </c>
      <c r="F12" s="46">
        <f>E12*(-'Input data'!$L$3/12)*'Input data'!$M$3</f>
        <v>135.13513513513516</v>
      </c>
      <c r="H12" s="120" t="s">
        <v>86</v>
      </c>
      <c r="I12" s="121"/>
      <c r="J12" s="121"/>
      <c r="K12" s="121"/>
      <c r="L12" s="49">
        <f>SUM(L8:L11)</f>
        <v>0</v>
      </c>
      <c r="N12" s="116"/>
      <c r="O12" s="45" t="s">
        <v>59</v>
      </c>
      <c r="P12" s="45">
        <f>'Input data'!E8</f>
        <v>-50</v>
      </c>
      <c r="Q12" s="45">
        <f t="shared" si="1"/>
        <v>-0.16666666666666666</v>
      </c>
      <c r="R12" s="46">
        <f>Q12*(-'Input data'!$L$5/12)*'Input data'!$M$5</f>
        <v>-66.666666666666657</v>
      </c>
    </row>
    <row r="13" spans="2:18" ht="15" thickTop="1">
      <c r="B13" s="116"/>
      <c r="C13" s="47" t="s">
        <v>61</v>
      </c>
      <c r="D13" s="47">
        <f>'Input data'!D9</f>
        <v>100</v>
      </c>
      <c r="E13" s="47">
        <f t="shared" si="0"/>
        <v>0.27027027027027029</v>
      </c>
      <c r="F13" s="48">
        <f>E13*(-'Input data'!$L$3/12)*'Input data'!$M$3</f>
        <v>135.13513513513516</v>
      </c>
      <c r="N13" s="116"/>
      <c r="O13" s="47" t="s">
        <v>61</v>
      </c>
      <c r="P13" s="47">
        <f>'Input data'!E9</f>
        <v>100</v>
      </c>
      <c r="Q13" s="47">
        <f t="shared" si="1"/>
        <v>0.33333333333333331</v>
      </c>
      <c r="R13" s="48">
        <f>Q13*(-'Input data'!$L$5/12)*'Input data'!$M$5</f>
        <v>133.33333333333331</v>
      </c>
    </row>
    <row r="14" spans="2:18">
      <c r="B14" s="116" t="s">
        <v>87</v>
      </c>
      <c r="C14" s="117"/>
      <c r="D14" s="45">
        <f>'Input data'!D10+'Input data'!D6</f>
        <v>-200</v>
      </c>
      <c r="E14" s="45">
        <f t="shared" si="0"/>
        <v>-0.54054054054054057</v>
      </c>
      <c r="F14" s="46">
        <f>E14*(-'Input data'!$L$3/12)*'Input data'!$M$3</f>
        <v>-270.27027027027032</v>
      </c>
      <c r="N14" s="116" t="s">
        <v>88</v>
      </c>
      <c r="O14" s="117"/>
      <c r="P14" s="45">
        <f>'Input data'!E6+'Input data'!E10</f>
        <v>-50</v>
      </c>
      <c r="Q14" s="45">
        <f t="shared" si="1"/>
        <v>-0.16666666666666666</v>
      </c>
      <c r="R14" s="46">
        <f>Q14*(-'Input data'!$L$5/12)*'Input data'!$M$5</f>
        <v>-66.666666666666657</v>
      </c>
    </row>
    <row r="15" spans="2:18" ht="15" thickBot="1">
      <c r="B15" s="99" t="s">
        <v>86</v>
      </c>
      <c r="C15" s="118"/>
      <c r="D15" s="118"/>
      <c r="E15" s="119"/>
      <c r="F15" s="49">
        <f>SUM(F8:F14)</f>
        <v>0</v>
      </c>
      <c r="N15" s="120" t="s">
        <v>86</v>
      </c>
      <c r="O15" s="121"/>
      <c r="P15" s="121"/>
      <c r="Q15" s="121"/>
      <c r="R15" s="49">
        <f>SUM(R8:R14)</f>
        <v>0</v>
      </c>
    </row>
    <row r="16" spans="2:18" ht="15" thickTop="1"/>
  </sheetData>
  <mergeCells count="29">
    <mergeCell ref="B14:C14"/>
    <mergeCell ref="H11:I11"/>
    <mergeCell ref="N14:O14"/>
    <mergeCell ref="B15:E15"/>
    <mergeCell ref="H12:K12"/>
    <mergeCell ref="N15:Q15"/>
    <mergeCell ref="B6:F6"/>
    <mergeCell ref="H6:L6"/>
    <mergeCell ref="N6:R6"/>
    <mergeCell ref="B8:B10"/>
    <mergeCell ref="B11:B13"/>
    <mergeCell ref="H8:H10"/>
    <mergeCell ref="N8:N10"/>
    <mergeCell ref="N11:N13"/>
    <mergeCell ref="D4:F4"/>
    <mergeCell ref="D5:F5"/>
    <mergeCell ref="B2:F3"/>
    <mergeCell ref="H2:L3"/>
    <mergeCell ref="N2:R3"/>
    <mergeCell ref="J4:L4"/>
    <mergeCell ref="J5:L5"/>
    <mergeCell ref="P4:R4"/>
    <mergeCell ref="P5:R5"/>
    <mergeCell ref="B4:C4"/>
    <mergeCell ref="B5:C5"/>
    <mergeCell ref="H4:I4"/>
    <mergeCell ref="H5:I5"/>
    <mergeCell ref="N4:O4"/>
    <mergeCell ref="N5:O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46C5E-FABB-4570-8CDA-A1C48689BCE9}">
  <dimension ref="B1:P26"/>
  <sheetViews>
    <sheetView showGridLines="0" zoomScaleNormal="100" workbookViewId="0">
      <selection activeCell="N8" sqref="N8"/>
    </sheetView>
  </sheetViews>
  <sheetFormatPr defaultColWidth="8.85546875" defaultRowHeight="14.45"/>
  <cols>
    <col min="1" max="1" width="4" style="25" customWidth="1"/>
    <col min="2" max="2" width="11.85546875" style="25" customWidth="1"/>
    <col min="3" max="3" width="12.5703125" style="25" customWidth="1"/>
    <col min="4" max="4" width="12.7109375" style="25" bestFit="1" customWidth="1"/>
    <col min="5" max="5" width="11" style="25" customWidth="1"/>
    <col min="6" max="6" width="4.140625" style="25" customWidth="1"/>
    <col min="7" max="7" width="8.85546875" style="25"/>
    <col min="8" max="8" width="15" style="25" customWidth="1"/>
    <col min="9" max="9" width="12.7109375" style="25" bestFit="1" customWidth="1"/>
    <col min="10" max="10" width="11" style="25" customWidth="1"/>
    <col min="11" max="11" width="5.42578125" style="25" customWidth="1"/>
    <col min="12" max="12" width="10.42578125" style="25" customWidth="1"/>
    <col min="13" max="13" width="15.5703125" style="25" customWidth="1"/>
    <col min="14" max="14" width="12.7109375" style="25" bestFit="1" customWidth="1"/>
    <col min="15" max="15" width="9.42578125" style="25" customWidth="1"/>
    <col min="16" max="16384" width="8.85546875" style="25"/>
  </cols>
  <sheetData>
    <row r="1" spans="2:16" ht="15" thickBot="1"/>
    <row r="2" spans="2:16" s="39" customFormat="1" ht="36.6" customHeight="1" thickTop="1">
      <c r="B2" s="122" t="s">
        <v>89</v>
      </c>
      <c r="C2" s="123"/>
      <c r="D2" s="123"/>
      <c r="E2" s="124"/>
      <c r="F2" s="38"/>
      <c r="G2" s="122" t="s">
        <v>90</v>
      </c>
      <c r="H2" s="123"/>
      <c r="I2" s="123"/>
      <c r="J2" s="124"/>
      <c r="K2" s="58"/>
      <c r="L2" s="122" t="s">
        <v>91</v>
      </c>
      <c r="M2" s="123"/>
      <c r="N2" s="123"/>
      <c r="O2" s="124"/>
      <c r="P2" s="59"/>
    </row>
    <row r="3" spans="2:16">
      <c r="B3" s="127"/>
      <c r="C3" s="128"/>
      <c r="D3" s="128"/>
      <c r="E3" s="129"/>
      <c r="G3" s="127"/>
      <c r="H3" s="128"/>
      <c r="I3" s="128"/>
      <c r="J3" s="129"/>
      <c r="L3" s="127"/>
      <c r="M3" s="128"/>
      <c r="N3" s="128"/>
      <c r="O3" s="129"/>
    </row>
    <row r="4" spans="2:16" ht="15.75" customHeight="1">
      <c r="B4" s="51" t="s">
        <v>36</v>
      </c>
      <c r="C4" s="52" t="s">
        <v>37</v>
      </c>
      <c r="D4" s="53" t="s">
        <v>16</v>
      </c>
      <c r="E4" s="54" t="s">
        <v>84</v>
      </c>
      <c r="G4" s="51" t="s">
        <v>36</v>
      </c>
      <c r="H4" s="52" t="s">
        <v>37</v>
      </c>
      <c r="I4" s="53" t="s">
        <v>16</v>
      </c>
      <c r="J4" s="54" t="s">
        <v>84</v>
      </c>
      <c r="L4" s="51" t="s">
        <v>36</v>
      </c>
      <c r="M4" s="52" t="s">
        <v>37</v>
      </c>
      <c r="N4" s="53" t="s">
        <v>16</v>
      </c>
      <c r="O4" s="54" t="s">
        <v>84</v>
      </c>
    </row>
    <row r="5" spans="2:16">
      <c r="B5" s="97" t="s">
        <v>46</v>
      </c>
      <c r="C5" s="45" t="s">
        <v>47</v>
      </c>
      <c r="D5" s="45">
        <f>MIN(0,FPP!E8)</f>
        <v>0</v>
      </c>
      <c r="E5" s="46">
        <f>D5*'Initial calculations'!$J$3*'Initial calculations'!$K$3</f>
        <v>0</v>
      </c>
      <c r="G5" s="97" t="s">
        <v>46</v>
      </c>
      <c r="H5" s="45" t="s">
        <v>47</v>
      </c>
      <c r="I5" s="45">
        <f>MIN(0,FPP!K8)</f>
        <v>0</v>
      </c>
      <c r="J5" s="46">
        <f>'Initial calculations'!$J$4*I5*'Initial calculations'!$K$4</f>
        <v>0</v>
      </c>
      <c r="L5" s="97" t="s">
        <v>46</v>
      </c>
      <c r="M5" s="45" t="s">
        <v>47</v>
      </c>
      <c r="N5" s="45">
        <f>MIN(0,FPP!Q8)</f>
        <v>0</v>
      </c>
      <c r="O5" s="46">
        <f>N5*'Initial calculations'!$J$8*'Initial calculations'!$K$8</f>
        <v>0</v>
      </c>
    </row>
    <row r="6" spans="2:16">
      <c r="B6" s="98"/>
      <c r="C6" s="47" t="s">
        <v>50</v>
      </c>
      <c r="D6" s="47">
        <f>MIN(0,FPP!E9)</f>
        <v>-0.13513513513513514</v>
      </c>
      <c r="E6" s="48">
        <f>D6*'Initial calculations'!$J$3*'Initial calculations'!$K$3</f>
        <v>-43.243243243243249</v>
      </c>
      <c r="G6" s="98"/>
      <c r="H6" s="47" t="s">
        <v>50</v>
      </c>
      <c r="I6" s="47">
        <f>MIN(0,FPP!K9)</f>
        <v>-0.29411764705882354</v>
      </c>
      <c r="J6" s="48">
        <f>'Initial calculations'!$J$4*I6*'Initial calculations'!$K$4</f>
        <v>-73.529411764705884</v>
      </c>
      <c r="L6" s="98"/>
      <c r="M6" s="47" t="s">
        <v>50</v>
      </c>
      <c r="N6" s="47">
        <f>MIN(0,FPP!Q9)</f>
        <v>0</v>
      </c>
      <c r="O6" s="48">
        <f>N6*'Initial calculations'!$J$8*'Initial calculations'!$K$8</f>
        <v>0</v>
      </c>
    </row>
    <row r="7" spans="2:16">
      <c r="B7" s="125"/>
      <c r="C7" s="45" t="s">
        <v>53</v>
      </c>
      <c r="D7" s="45">
        <f>MIN(0,FPP!E10)</f>
        <v>0</v>
      </c>
      <c r="E7" s="46">
        <f>D7*'Initial calculations'!$J$3*'Initial calculations'!$K$3</f>
        <v>0</v>
      </c>
      <c r="G7" s="125"/>
      <c r="H7" s="45" t="s">
        <v>53</v>
      </c>
      <c r="I7" s="45">
        <f>MIN(0,FPP!K10)</f>
        <v>0</v>
      </c>
      <c r="J7" s="46">
        <f>'Initial calculations'!$J$4*I7*'Initial calculations'!$K$4</f>
        <v>0</v>
      </c>
      <c r="L7" s="125"/>
      <c r="M7" s="45" t="s">
        <v>53</v>
      </c>
      <c r="N7" s="45">
        <f>MIN(0,FPP!Q10)</f>
        <v>-0.33333333333333331</v>
      </c>
      <c r="O7" s="46">
        <f>N7*'Initial calculations'!$J$8*'Initial calculations'!$K$8</f>
        <v>-133.33333333333334</v>
      </c>
    </row>
    <row r="8" spans="2:16">
      <c r="B8" s="97" t="s">
        <v>57</v>
      </c>
      <c r="C8" s="47" t="s">
        <v>58</v>
      </c>
      <c r="D8" s="47">
        <f>MIN(0,FPP!E11)</f>
        <v>-0.32432432432432434</v>
      </c>
      <c r="E8" s="48">
        <f>D8*'Initial calculations'!$J$3*'Initial calculations'!$K$3</f>
        <v>-103.7837837837838</v>
      </c>
      <c r="G8" s="116" t="s">
        <v>85</v>
      </c>
      <c r="H8" s="117"/>
      <c r="I8" s="47">
        <f>MIN(0,FPP!K11)</f>
        <v>-0.70588235294117652</v>
      </c>
      <c r="J8" s="48">
        <f>'Initial calculations'!$J$4*I8*'Initial calculations'!$K$4</f>
        <v>-176.47058823529412</v>
      </c>
      <c r="L8" s="97" t="s">
        <v>57</v>
      </c>
      <c r="M8" s="47" t="s">
        <v>58</v>
      </c>
      <c r="N8" s="47">
        <f>MIN(0,FPP!Q11)</f>
        <v>-0.33333333333333331</v>
      </c>
      <c r="O8" s="48">
        <f>N8*'Initial calculations'!$J$8*'Initial calculations'!$K$8</f>
        <v>-133.33333333333334</v>
      </c>
    </row>
    <row r="9" spans="2:16" ht="15" thickBot="1">
      <c r="B9" s="98"/>
      <c r="C9" s="45" t="s">
        <v>59</v>
      </c>
      <c r="D9" s="45">
        <f>MIN(0,FPP!E12)</f>
        <v>0</v>
      </c>
      <c r="E9" s="46">
        <f>D9*'Initial calculations'!$J$3*'Initial calculations'!$K$3</f>
        <v>0</v>
      </c>
      <c r="G9" s="120" t="s">
        <v>92</v>
      </c>
      <c r="H9" s="126"/>
      <c r="I9" s="126"/>
      <c r="J9" s="55">
        <f>-SUM(J5:J8)</f>
        <v>250</v>
      </c>
      <c r="L9" s="98"/>
      <c r="M9" s="45" t="s">
        <v>59</v>
      </c>
      <c r="N9" s="45">
        <f>MIN(0,FPP!Q12)</f>
        <v>-0.16666666666666666</v>
      </c>
      <c r="O9" s="46">
        <f>N9*'Initial calculations'!$J$8*'Initial calculations'!$K$8</f>
        <v>-66.666666666666671</v>
      </c>
    </row>
    <row r="10" spans="2:16" ht="15" thickTop="1">
      <c r="B10" s="125"/>
      <c r="C10" s="47" t="s">
        <v>61</v>
      </c>
      <c r="D10" s="47">
        <f>MIN(0,FPP!E13)</f>
        <v>0</v>
      </c>
      <c r="E10" s="48">
        <f>D10*'Initial calculations'!$J$3*'Initial calculations'!$K$3</f>
        <v>0</v>
      </c>
      <c r="L10" s="125"/>
      <c r="M10" s="47" t="s">
        <v>61</v>
      </c>
      <c r="N10" s="47">
        <f>MIN(0,FPP!Q13)</f>
        <v>0</v>
      </c>
      <c r="O10" s="48">
        <f>N10*'Initial calculations'!$J$8*'Initial calculations'!$K$8</f>
        <v>0</v>
      </c>
    </row>
    <row r="11" spans="2:16">
      <c r="B11" s="116" t="s">
        <v>87</v>
      </c>
      <c r="C11" s="117"/>
      <c r="D11" s="45">
        <f>MIN(0,FPP!E14)</f>
        <v>-0.54054054054054057</v>
      </c>
      <c r="E11" s="46">
        <f>D11*'Initial calculations'!$J$3*'Initial calculations'!$K$3</f>
        <v>-172.972972972973</v>
      </c>
      <c r="L11" s="116" t="s">
        <v>88</v>
      </c>
      <c r="M11" s="117"/>
      <c r="N11" s="45">
        <f>MIN(0,FPP!Q14)</f>
        <v>-0.16666666666666666</v>
      </c>
      <c r="O11" s="46">
        <f>N11*'Initial calculations'!$J$8*'Initial calculations'!$K$8</f>
        <v>-66.666666666666671</v>
      </c>
    </row>
    <row r="12" spans="2:16" ht="15" thickBot="1">
      <c r="B12" s="120" t="s">
        <v>92</v>
      </c>
      <c r="C12" s="126"/>
      <c r="D12" s="126"/>
      <c r="E12" s="56">
        <f>-SUM(E5:E11)</f>
        <v>320.00000000000006</v>
      </c>
      <c r="L12" s="120" t="s">
        <v>92</v>
      </c>
      <c r="M12" s="126"/>
      <c r="N12" s="126"/>
      <c r="O12" s="56">
        <f>-SUM(O5:O11)</f>
        <v>400.00000000000006</v>
      </c>
    </row>
    <row r="13" spans="2:16" ht="15" thickTop="1"/>
    <row r="26" spans="2:2">
      <c r="B26" s="57"/>
    </row>
  </sheetData>
  <mergeCells count="17">
    <mergeCell ref="L12:N12"/>
    <mergeCell ref="L3:O3"/>
    <mergeCell ref="G3:J3"/>
    <mergeCell ref="L11:M11"/>
    <mergeCell ref="B3:E3"/>
    <mergeCell ref="L8:L10"/>
    <mergeCell ref="B12:D12"/>
    <mergeCell ref="G9:I9"/>
    <mergeCell ref="B8:B10"/>
    <mergeCell ref="G8:H8"/>
    <mergeCell ref="B11:C11"/>
    <mergeCell ref="B2:E2"/>
    <mergeCell ref="G2:J2"/>
    <mergeCell ref="L2:O2"/>
    <mergeCell ref="B5:B7"/>
    <mergeCell ref="L5:L7"/>
    <mergeCell ref="G5:G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9ED4-7D5B-4F6A-AEBE-D8D7946F31F8}">
  <dimension ref="B1:T35"/>
  <sheetViews>
    <sheetView showGridLines="0" zoomScaleNormal="100" workbookViewId="0">
      <selection activeCell="H9" sqref="H9:I9"/>
    </sheetView>
  </sheetViews>
  <sheetFormatPr defaultColWidth="8.85546875" defaultRowHeight="14.45"/>
  <cols>
    <col min="1" max="1" width="4.140625" style="25" customWidth="1"/>
    <col min="2" max="2" width="9.28515625" style="25" customWidth="1"/>
    <col min="3" max="3" width="14.42578125" style="25" customWidth="1"/>
    <col min="4" max="4" width="15.5703125" style="25" customWidth="1"/>
    <col min="5" max="5" width="12.7109375" style="25" bestFit="1" customWidth="1"/>
    <col min="6" max="6" width="13.5703125" style="25" customWidth="1"/>
    <col min="7" max="7" width="5.28515625" style="25" customWidth="1"/>
    <col min="8" max="8" width="9" style="25" customWidth="1"/>
    <col min="9" max="9" width="15.5703125" style="25" customWidth="1"/>
    <col min="10" max="10" width="15.28515625" style="25" customWidth="1"/>
    <col min="11" max="11" width="12.7109375" style="25" bestFit="1" customWidth="1"/>
    <col min="12" max="12" width="12.5703125" style="25" customWidth="1"/>
    <col min="13" max="13" width="4.5703125" style="25" customWidth="1"/>
    <col min="14" max="14" width="9.28515625" style="25" customWidth="1"/>
    <col min="15" max="15" width="15.85546875" style="25" customWidth="1"/>
    <col min="16" max="16" width="17" style="25" customWidth="1"/>
    <col min="17" max="17" width="12.7109375" style="25" bestFit="1" customWidth="1"/>
    <col min="18" max="18" width="14.140625" style="25" customWidth="1"/>
    <col min="19" max="16384" width="8.85546875" style="25"/>
  </cols>
  <sheetData>
    <row r="1" spans="2:20" ht="15" thickBot="1"/>
    <row r="2" spans="2:20" s="39" customFormat="1" ht="35.1" customHeight="1" thickTop="1">
      <c r="B2" s="135" t="s">
        <v>93</v>
      </c>
      <c r="C2" s="136"/>
      <c r="D2" s="136"/>
      <c r="E2" s="136"/>
      <c r="F2" s="137"/>
      <c r="G2" s="38"/>
      <c r="H2" s="135" t="s">
        <v>94</v>
      </c>
      <c r="I2" s="136"/>
      <c r="J2" s="136"/>
      <c r="K2" s="136"/>
      <c r="L2" s="137"/>
      <c r="M2" s="38"/>
      <c r="N2" s="135" t="s">
        <v>95</v>
      </c>
      <c r="O2" s="136"/>
      <c r="P2" s="136"/>
      <c r="Q2" s="136"/>
      <c r="R2" s="137"/>
    </row>
    <row r="3" spans="2:20" ht="30" customHeight="1">
      <c r="B3" s="130" t="s">
        <v>96</v>
      </c>
      <c r="C3" s="131"/>
      <c r="D3" s="132"/>
      <c r="E3" s="133">
        <f>SUMIF(D6:D12,"&lt;0",D6:D12)</f>
        <v>-7300</v>
      </c>
      <c r="F3" s="134"/>
      <c r="H3" s="130" t="s">
        <v>96</v>
      </c>
      <c r="I3" s="131"/>
      <c r="J3" s="132"/>
      <c r="K3" s="133">
        <f>SUMIF(J6:J9,"&lt;0",J6:J9)</f>
        <v>-3500</v>
      </c>
      <c r="L3" s="134"/>
      <c r="N3" s="130" t="s">
        <v>97</v>
      </c>
      <c r="O3" s="131"/>
      <c r="P3" s="132"/>
      <c r="Q3" s="133">
        <f>SUMIF(P6:P12,"&lt;0", P6:P12)</f>
        <v>-6900</v>
      </c>
      <c r="R3" s="134"/>
    </row>
    <row r="4" spans="2:20">
      <c r="B4" s="127"/>
      <c r="C4" s="128"/>
      <c r="D4" s="128"/>
      <c r="E4" s="128"/>
      <c r="F4" s="129"/>
      <c r="H4" s="127"/>
      <c r="I4" s="128"/>
      <c r="J4" s="128"/>
      <c r="K4" s="128"/>
      <c r="L4" s="129"/>
      <c r="N4" s="127"/>
      <c r="O4" s="128"/>
      <c r="P4" s="128"/>
      <c r="Q4" s="128"/>
      <c r="R4" s="129"/>
    </row>
    <row r="5" spans="2:20" ht="45.95" customHeight="1">
      <c r="B5" s="40" t="s">
        <v>36</v>
      </c>
      <c r="C5" s="41" t="s">
        <v>37</v>
      </c>
      <c r="D5" s="42" t="s">
        <v>98</v>
      </c>
      <c r="E5" s="42" t="s">
        <v>99</v>
      </c>
      <c r="F5" s="43" t="s">
        <v>84</v>
      </c>
      <c r="G5" s="2"/>
      <c r="H5" s="40" t="s">
        <v>36</v>
      </c>
      <c r="I5" s="41" t="s">
        <v>37</v>
      </c>
      <c r="J5" s="42" t="s">
        <v>98</v>
      </c>
      <c r="K5" s="42" t="s">
        <v>99</v>
      </c>
      <c r="L5" s="43" t="s">
        <v>84</v>
      </c>
      <c r="M5" s="2"/>
      <c r="N5" s="40" t="s">
        <v>36</v>
      </c>
      <c r="O5" s="41" t="s">
        <v>37</v>
      </c>
      <c r="P5" s="42" t="s">
        <v>100</v>
      </c>
      <c r="Q5" s="42" t="s">
        <v>99</v>
      </c>
      <c r="R5" s="43" t="s">
        <v>84</v>
      </c>
    </row>
    <row r="6" spans="2:20">
      <c r="B6" s="97" t="s">
        <v>46</v>
      </c>
      <c r="C6" s="45" t="s">
        <v>47</v>
      </c>
      <c r="D6" s="45">
        <f>'Input data'!F3</f>
        <v>-1200</v>
      </c>
      <c r="E6" s="45">
        <f t="shared" ref="E6:E12" si="0">IF(D6&gt; 0,0,-D6/$E$3)</f>
        <v>-0.16438356164383561</v>
      </c>
      <c r="F6" s="46">
        <f>E6*'Initial calculations'!$J$3*(1-'Initial calculations'!$K$3)</f>
        <v>-13.150684931506845</v>
      </c>
      <c r="H6" s="97" t="s">
        <v>46</v>
      </c>
      <c r="I6" s="45" t="s">
        <v>47</v>
      </c>
      <c r="J6" s="45">
        <f>'Input data'!F3</f>
        <v>-1200</v>
      </c>
      <c r="K6" s="45">
        <f>IF(J6&gt; 0,0,-J6/$K$3)</f>
        <v>-0.34285714285714286</v>
      </c>
      <c r="L6" s="46">
        <f>'Initial calculations'!$J$4*K6*(1-'Initial calculations'!$K$4)</f>
        <v>0</v>
      </c>
      <c r="N6" s="97" t="s">
        <v>46</v>
      </c>
      <c r="O6" s="45" t="s">
        <v>47</v>
      </c>
      <c r="P6" s="45">
        <f>'Input data'!G3</f>
        <v>-600</v>
      </c>
      <c r="Q6" s="45">
        <f t="shared" ref="Q6:Q12" si="1">IF(P6&gt; 0,0,-P6/$Q$3)</f>
        <v>-8.6956521739130432E-2</v>
      </c>
      <c r="R6" s="46">
        <f>Q6*'Initial calculations'!$J$8*(1-'Initial calculations'!$K$8)</f>
        <v>-8.6956521739130412</v>
      </c>
    </row>
    <row r="7" spans="2:20">
      <c r="B7" s="98"/>
      <c r="C7" s="47" t="s">
        <v>50</v>
      </c>
      <c r="D7" s="47">
        <f>'Input data'!F4</f>
        <v>-300</v>
      </c>
      <c r="E7" s="47">
        <f t="shared" si="0"/>
        <v>-4.1095890410958902E-2</v>
      </c>
      <c r="F7" s="48">
        <f>E7*'Initial calculations'!$J$3*(1-'Initial calculations'!$K$3)</f>
        <v>-3.2876712328767113</v>
      </c>
      <c r="H7" s="98"/>
      <c r="I7" s="47" t="s">
        <v>50</v>
      </c>
      <c r="J7" s="47">
        <f>'Input data'!F4</f>
        <v>-300</v>
      </c>
      <c r="K7" s="47">
        <f>IF(J7&gt; 0,0,-J7/$K$3)</f>
        <v>-8.5714285714285715E-2</v>
      </c>
      <c r="L7" s="48">
        <f>'Initial calculations'!$J$4*K7*(1-'Initial calculations'!$K$4)</f>
        <v>0</v>
      </c>
      <c r="N7" s="98"/>
      <c r="O7" s="47" t="s">
        <v>50</v>
      </c>
      <c r="P7" s="47">
        <f>'Input data'!G4</f>
        <v>-300</v>
      </c>
      <c r="Q7" s="47">
        <f t="shared" si="1"/>
        <v>-4.3478260869565216E-2</v>
      </c>
      <c r="R7" s="48">
        <f>Q7*'Initial calculations'!$J$8*(1-'Initial calculations'!$K$8)</f>
        <v>-4.3478260869565206</v>
      </c>
    </row>
    <row r="8" spans="2:20">
      <c r="B8" s="98"/>
      <c r="C8" s="45" t="s">
        <v>53</v>
      </c>
      <c r="D8" s="45">
        <f>'Input data'!F5</f>
        <v>200</v>
      </c>
      <c r="E8" s="45">
        <f t="shared" si="0"/>
        <v>0</v>
      </c>
      <c r="F8" s="46">
        <f>E8*'Initial calculations'!$J$3*(1-'Initial calculations'!$K$3)</f>
        <v>0</v>
      </c>
      <c r="G8" s="60"/>
      <c r="H8" s="98"/>
      <c r="I8" s="45" t="s">
        <v>53</v>
      </c>
      <c r="J8" s="45">
        <f>'Input data'!F5</f>
        <v>200</v>
      </c>
      <c r="K8" s="45">
        <f>IF(J8&gt; 0,0,-J8/$K$3)</f>
        <v>0</v>
      </c>
      <c r="L8" s="46">
        <f>'Initial calculations'!$J$4*K8*(1-'Initial calculations'!$K$4)</f>
        <v>0</v>
      </c>
      <c r="N8" s="125"/>
      <c r="O8" s="45" t="s">
        <v>53</v>
      </c>
      <c r="P8" s="45">
        <f>'Input data'!G5</f>
        <v>-200</v>
      </c>
      <c r="Q8" s="45">
        <f t="shared" si="1"/>
        <v>-2.8985507246376812E-2</v>
      </c>
      <c r="R8" s="46">
        <f>Q8*'Initial calculations'!$J$8*(1-'Initial calculations'!$K$8)</f>
        <v>-2.8985507246376807</v>
      </c>
      <c r="T8" s="60"/>
    </row>
    <row r="9" spans="2:20">
      <c r="B9" s="97" t="s">
        <v>57</v>
      </c>
      <c r="C9" s="47" t="s">
        <v>58</v>
      </c>
      <c r="D9" s="47">
        <f>'Input data'!F7</f>
        <v>-600</v>
      </c>
      <c r="E9" s="47">
        <f t="shared" si="0"/>
        <v>-8.2191780821917804E-2</v>
      </c>
      <c r="F9" s="48">
        <f>E9*'Initial calculations'!$J$3*(1-'Initial calculations'!$K$3)</f>
        <v>-6.5753424657534225</v>
      </c>
      <c r="H9" s="116" t="s">
        <v>85</v>
      </c>
      <c r="I9" s="117"/>
      <c r="J9" s="47">
        <f>'Input data'!F6</f>
        <v>-2000</v>
      </c>
      <c r="K9" s="47">
        <f>IF(J9&gt; 0,0,-J9/$K$3)</f>
        <v>-0.5714285714285714</v>
      </c>
      <c r="L9" s="48">
        <f>'Initial calculations'!$J$4*K9*(1-'Initial calculations'!$K$4)</f>
        <v>0</v>
      </c>
      <c r="N9" s="97" t="s">
        <v>57</v>
      </c>
      <c r="O9" s="47" t="s">
        <v>58</v>
      </c>
      <c r="P9" s="47">
        <f>'Input data'!G7</f>
        <v>-600</v>
      </c>
      <c r="Q9" s="47">
        <f t="shared" si="1"/>
        <v>-8.6956521739130432E-2</v>
      </c>
      <c r="R9" s="48">
        <f>Q9*'Initial calculations'!$J$8*(1-'Initial calculations'!$K$8)</f>
        <v>-8.6956521739130412</v>
      </c>
    </row>
    <row r="10" spans="2:20" ht="15" thickBot="1">
      <c r="B10" s="98"/>
      <c r="C10" s="45" t="s">
        <v>59</v>
      </c>
      <c r="D10" s="45">
        <f>'Input data'!F8</f>
        <v>50</v>
      </c>
      <c r="E10" s="45">
        <f t="shared" si="0"/>
        <v>0</v>
      </c>
      <c r="F10" s="46">
        <f>E10*'Initial calculations'!$J$3*(1-'Initial calculations'!$K$3)</f>
        <v>0</v>
      </c>
      <c r="H10" s="99" t="s">
        <v>92</v>
      </c>
      <c r="I10" s="138"/>
      <c r="J10" s="138"/>
      <c r="K10" s="100"/>
      <c r="L10" s="61">
        <f>-SUM(L6:L9)</f>
        <v>0</v>
      </c>
      <c r="N10" s="98"/>
      <c r="O10" s="45" t="s">
        <v>59</v>
      </c>
      <c r="P10" s="45">
        <f>'Input data'!G8</f>
        <v>200</v>
      </c>
      <c r="Q10" s="45">
        <f t="shared" si="1"/>
        <v>0</v>
      </c>
      <c r="R10" s="46">
        <f>Q10*'Initial calculations'!$J$8*(1-'Initial calculations'!$K$8)</f>
        <v>0</v>
      </c>
    </row>
    <row r="11" spans="2:20" ht="15" thickTop="1">
      <c r="B11" s="98"/>
      <c r="C11" s="47" t="s">
        <v>61</v>
      </c>
      <c r="D11" s="47">
        <f>'Input data'!F9</f>
        <v>-200</v>
      </c>
      <c r="E11" s="47">
        <f t="shared" si="0"/>
        <v>-2.7397260273972601E-2</v>
      </c>
      <c r="F11" s="48">
        <f>E11*'Initial calculations'!$J$3*(1-'Initial calculations'!$K$3)</f>
        <v>-2.1917808219178077</v>
      </c>
      <c r="N11" s="125"/>
      <c r="O11" s="47" t="s">
        <v>61</v>
      </c>
      <c r="P11" s="47">
        <f>'Input data'!G9</f>
        <v>-200</v>
      </c>
      <c r="Q11" s="47">
        <f t="shared" si="1"/>
        <v>-2.8985507246376812E-2</v>
      </c>
      <c r="R11" s="48">
        <f>Q11*'Initial calculations'!$J$8*(1-'Initial calculations'!$K$8)</f>
        <v>-2.8985507246376807</v>
      </c>
    </row>
    <row r="12" spans="2:20">
      <c r="B12" s="116" t="s">
        <v>87</v>
      </c>
      <c r="C12" s="117"/>
      <c r="D12" s="45">
        <f>'Input data'!F6+'Input data'!F10</f>
        <v>-5000</v>
      </c>
      <c r="E12" s="45">
        <f t="shared" si="0"/>
        <v>-0.68493150684931503</v>
      </c>
      <c r="F12" s="46">
        <f>E12*'Initial calculations'!$J$3*(1-'Initial calculations'!$K$3)</f>
        <v>-54.79452054794519</v>
      </c>
      <c r="N12" s="116" t="s">
        <v>88</v>
      </c>
      <c r="O12" s="117"/>
      <c r="P12" s="45">
        <f>'Input data'!G6+'Input data'!G10</f>
        <v>-5000</v>
      </c>
      <c r="Q12" s="45">
        <f t="shared" si="1"/>
        <v>-0.72463768115942029</v>
      </c>
      <c r="R12" s="46">
        <f>Q12*'Initial calculations'!$J$8*(1-'Initial calculations'!$K$8)</f>
        <v>-72.463768115942003</v>
      </c>
    </row>
    <row r="13" spans="2:20" ht="15" thickBot="1">
      <c r="B13" s="99" t="s">
        <v>92</v>
      </c>
      <c r="C13" s="138"/>
      <c r="D13" s="138"/>
      <c r="E13" s="100"/>
      <c r="F13" s="56">
        <f>-SUM(F6:F12)</f>
        <v>79.999999999999972</v>
      </c>
      <c r="N13" s="99" t="s">
        <v>92</v>
      </c>
      <c r="O13" s="138"/>
      <c r="P13" s="138"/>
      <c r="Q13" s="100"/>
      <c r="R13" s="56">
        <f>-SUM(R6:R12)</f>
        <v>99.999999999999972</v>
      </c>
    </row>
    <row r="14" spans="2:20" ht="15" thickTop="1"/>
    <row r="18" spans="7:7">
      <c r="G18" s="50"/>
    </row>
    <row r="22" spans="7:7">
      <c r="G22" s="60"/>
    </row>
    <row r="31" spans="7:7">
      <c r="G31" s="50"/>
    </row>
    <row r="35" spans="7:7">
      <c r="G35" s="60"/>
    </row>
  </sheetData>
  <mergeCells count="23">
    <mergeCell ref="N2:R2"/>
    <mergeCell ref="H2:L2"/>
    <mergeCell ref="B2:F2"/>
    <mergeCell ref="B13:E13"/>
    <mergeCell ref="H10:K10"/>
    <mergeCell ref="N13:Q13"/>
    <mergeCell ref="B6:B8"/>
    <mergeCell ref="B9:B11"/>
    <mergeCell ref="H6:H8"/>
    <mergeCell ref="N9:N11"/>
    <mergeCell ref="Q3:R3"/>
    <mergeCell ref="E3:F3"/>
    <mergeCell ref="B4:F4"/>
    <mergeCell ref="H4:L4"/>
    <mergeCell ref="N4:R4"/>
    <mergeCell ref="B12:C12"/>
    <mergeCell ref="H9:I9"/>
    <mergeCell ref="N12:O12"/>
    <mergeCell ref="B3:D3"/>
    <mergeCell ref="N3:P3"/>
    <mergeCell ref="H3:J3"/>
    <mergeCell ref="K3:L3"/>
    <mergeCell ref="N6:N8"/>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3C04B-31AC-439C-8AA7-35C753841538}">
  <dimension ref="B1:O14"/>
  <sheetViews>
    <sheetView showGridLines="0" zoomScaleNormal="100" workbookViewId="0">
      <selection activeCell="D14" sqref="D14:N14"/>
    </sheetView>
  </sheetViews>
  <sheetFormatPr defaultColWidth="9.140625" defaultRowHeight="14.45"/>
  <cols>
    <col min="1" max="1" width="4.42578125" customWidth="1"/>
    <col min="2" max="2" width="12.140625" customWidth="1"/>
    <col min="3" max="3" width="13.42578125" customWidth="1"/>
    <col min="4" max="12" width="14.42578125" customWidth="1"/>
    <col min="13" max="13" width="7.28515625" customWidth="1"/>
    <col min="14" max="14" width="7" customWidth="1"/>
    <col min="15" max="15" width="11.5703125" bestFit="1" customWidth="1"/>
  </cols>
  <sheetData>
    <row r="1" spans="2:15" ht="15" thickBot="1"/>
    <row r="2" spans="2:15" ht="27" customHeight="1" thickTop="1">
      <c r="B2" s="143" t="s">
        <v>36</v>
      </c>
      <c r="C2" s="141" t="s">
        <v>37</v>
      </c>
      <c r="D2" s="139" t="s">
        <v>48</v>
      </c>
      <c r="E2" s="139"/>
      <c r="F2" s="139"/>
      <c r="G2" s="139" t="s">
        <v>101</v>
      </c>
      <c r="H2" s="139"/>
      <c r="I2" s="139"/>
      <c r="J2" s="139" t="s">
        <v>102</v>
      </c>
      <c r="K2" s="139"/>
      <c r="L2" s="140"/>
      <c r="M2" s="151" t="s">
        <v>103</v>
      </c>
      <c r="N2" s="152"/>
    </row>
    <row r="3" spans="2:15" ht="48" customHeight="1">
      <c r="B3" s="144"/>
      <c r="C3" s="142"/>
      <c r="D3" s="63" t="s">
        <v>104</v>
      </c>
      <c r="E3" s="63" t="s">
        <v>105</v>
      </c>
      <c r="F3" s="63" t="s">
        <v>106</v>
      </c>
      <c r="G3" s="63" t="s">
        <v>104</v>
      </c>
      <c r="H3" s="63" t="s">
        <v>105</v>
      </c>
      <c r="I3" s="63" t="s">
        <v>106</v>
      </c>
      <c r="J3" s="63" t="s">
        <v>104</v>
      </c>
      <c r="K3" s="63" t="s">
        <v>105</v>
      </c>
      <c r="L3" s="64" t="s">
        <v>106</v>
      </c>
      <c r="M3" s="153"/>
      <c r="N3" s="154"/>
    </row>
    <row r="4" spans="2:15">
      <c r="B4" s="116" t="s">
        <v>46</v>
      </c>
      <c r="C4" s="65" t="s">
        <v>47</v>
      </c>
      <c r="D4" s="66">
        <f>FPP!F8</f>
        <v>162.16216216216216</v>
      </c>
      <c r="E4" s="67">
        <f>'Used Reg recovery'!E5</f>
        <v>0</v>
      </c>
      <c r="F4" s="68">
        <f>'Unused Reg recovery'!F6</f>
        <v>-13.150684931506845</v>
      </c>
      <c r="G4" s="69">
        <f>FPP!L8</f>
        <v>211.76470588235296</v>
      </c>
      <c r="H4" s="67">
        <f>'Used Reg recovery'!J5</f>
        <v>0</v>
      </c>
      <c r="I4" s="70">
        <f>'Unused Reg recovery'!L6</f>
        <v>0</v>
      </c>
      <c r="J4" s="66">
        <f>FPP!R8</f>
        <v>66.666666666666657</v>
      </c>
      <c r="K4" s="67">
        <f>'Used Reg recovery'!O5</f>
        <v>0</v>
      </c>
      <c r="L4" s="70">
        <f>'Unused Reg recovery'!R6</f>
        <v>-8.6956521739130412</v>
      </c>
      <c r="M4" s="159">
        <f>SUM(D4:L4)</f>
        <v>418.74719760576187</v>
      </c>
      <c r="N4" s="160"/>
    </row>
    <row r="5" spans="2:15">
      <c r="B5" s="116"/>
      <c r="C5" s="71" t="s">
        <v>50</v>
      </c>
      <c r="D5" s="72">
        <f>FPP!F9</f>
        <v>-67.567567567567579</v>
      </c>
      <c r="E5" s="73">
        <f>'Used Reg recovery'!E6</f>
        <v>-43.243243243243249</v>
      </c>
      <c r="F5" s="74">
        <f>'Unused Reg recovery'!F7</f>
        <v>-3.2876712328767113</v>
      </c>
      <c r="G5" s="75">
        <f>FPP!L9</f>
        <v>-88.235294117647072</v>
      </c>
      <c r="H5" s="73">
        <f>'Used Reg recovery'!J6</f>
        <v>-73.529411764705884</v>
      </c>
      <c r="I5" s="76">
        <f>'Unused Reg recovery'!L7</f>
        <v>0</v>
      </c>
      <c r="J5" s="72">
        <f>FPP!R9</f>
        <v>200</v>
      </c>
      <c r="K5" s="73">
        <f>'Used Reg recovery'!O6</f>
        <v>0</v>
      </c>
      <c r="L5" s="76">
        <f>'Unused Reg recovery'!R7</f>
        <v>-4.3478260869565206</v>
      </c>
      <c r="M5" s="147">
        <f t="shared" ref="M5:M12" si="0">SUM(D5:L5)</f>
        <v>-80.211014012997012</v>
      </c>
      <c r="N5" s="148"/>
    </row>
    <row r="6" spans="2:15">
      <c r="B6" s="116"/>
      <c r="C6" s="65" t="s">
        <v>53</v>
      </c>
      <c r="D6" s="66">
        <f>FPP!F10</f>
        <v>67.567567567567579</v>
      </c>
      <c r="E6" s="67">
        <f>'Used Reg recovery'!E7</f>
        <v>0</v>
      </c>
      <c r="F6" s="68">
        <f>'Unused Reg recovery'!F8</f>
        <v>0</v>
      </c>
      <c r="G6" s="69">
        <f>FPP!L10</f>
        <v>88.235294117647072</v>
      </c>
      <c r="H6" s="67">
        <f>'Used Reg recovery'!J7</f>
        <v>0</v>
      </c>
      <c r="I6" s="70">
        <f>'Unused Reg recovery'!L8</f>
        <v>0</v>
      </c>
      <c r="J6" s="66">
        <f>FPP!R10</f>
        <v>-133.33333333333331</v>
      </c>
      <c r="K6" s="67">
        <f>'Used Reg recovery'!O7</f>
        <v>-133.33333333333334</v>
      </c>
      <c r="L6" s="70">
        <f>'Unused Reg recovery'!R8</f>
        <v>-2.8985507246376807</v>
      </c>
      <c r="M6" s="159">
        <f t="shared" si="0"/>
        <v>-113.76235570608969</v>
      </c>
      <c r="N6" s="160"/>
    </row>
    <row r="7" spans="2:15">
      <c r="B7" s="116" t="s">
        <v>57</v>
      </c>
      <c r="C7" s="71" t="s">
        <v>58</v>
      </c>
      <c r="D7" s="72">
        <f>FPP!F11</f>
        <v>-162.16216216216216</v>
      </c>
      <c r="E7" s="73">
        <f>'Used Reg recovery'!E8</f>
        <v>-103.7837837837838</v>
      </c>
      <c r="F7" s="74">
        <f>'Unused Reg recovery'!F9</f>
        <v>-6.5753424657534225</v>
      </c>
      <c r="G7" s="75">
        <v>0</v>
      </c>
      <c r="H7" s="73">
        <v>0</v>
      </c>
      <c r="I7" s="76">
        <v>0</v>
      </c>
      <c r="J7" s="72">
        <f>FPP!R11</f>
        <v>-133.33333333333331</v>
      </c>
      <c r="K7" s="73">
        <f>'Used Reg recovery'!O8</f>
        <v>-133.33333333333334</v>
      </c>
      <c r="L7" s="76">
        <f>'Unused Reg recovery'!R9</f>
        <v>-8.6956521739130412</v>
      </c>
      <c r="M7" s="147">
        <f t="shared" si="0"/>
        <v>-547.88360725227903</v>
      </c>
      <c r="N7" s="148"/>
    </row>
    <row r="8" spans="2:15">
      <c r="B8" s="116"/>
      <c r="C8" s="65" t="s">
        <v>59</v>
      </c>
      <c r="D8" s="66">
        <f>FPP!F12</f>
        <v>135.13513513513516</v>
      </c>
      <c r="E8" s="67">
        <f>'Used Reg recovery'!E9</f>
        <v>0</v>
      </c>
      <c r="F8" s="68">
        <f>'Unused Reg recovery'!F10</f>
        <v>0</v>
      </c>
      <c r="G8" s="69">
        <v>0</v>
      </c>
      <c r="H8" s="67">
        <v>0</v>
      </c>
      <c r="I8" s="70">
        <v>0</v>
      </c>
      <c r="J8" s="66">
        <f>FPP!R12</f>
        <v>-66.666666666666657</v>
      </c>
      <c r="K8" s="67">
        <f>'Used Reg recovery'!O9</f>
        <v>-66.666666666666671</v>
      </c>
      <c r="L8" s="70">
        <f>'Unused Reg recovery'!R10</f>
        <v>0</v>
      </c>
      <c r="M8" s="159">
        <f t="shared" si="0"/>
        <v>1.8018018018018296</v>
      </c>
      <c r="N8" s="160"/>
    </row>
    <row r="9" spans="2:15">
      <c r="B9" s="116"/>
      <c r="C9" s="71" t="s">
        <v>61</v>
      </c>
      <c r="D9" s="72">
        <f>FPP!F13</f>
        <v>135.13513513513516</v>
      </c>
      <c r="E9" s="73">
        <f>'Used Reg recovery'!E10</f>
        <v>0</v>
      </c>
      <c r="F9" s="74">
        <f>'Unused Reg recovery'!F11</f>
        <v>-2.1917808219178077</v>
      </c>
      <c r="G9" s="75">
        <v>0</v>
      </c>
      <c r="H9" s="73">
        <v>0</v>
      </c>
      <c r="I9" s="76">
        <v>0</v>
      </c>
      <c r="J9" s="72">
        <f>FPP!R13</f>
        <v>133.33333333333331</v>
      </c>
      <c r="K9" s="73">
        <f>'Used Reg recovery'!O10</f>
        <v>0</v>
      </c>
      <c r="L9" s="76">
        <f>'Unused Reg recovery'!R11</f>
        <v>-2.8985507246376807</v>
      </c>
      <c r="M9" s="147">
        <f t="shared" si="0"/>
        <v>263.37813692191298</v>
      </c>
      <c r="N9" s="148"/>
    </row>
    <row r="10" spans="2:15">
      <c r="B10" s="116" t="s">
        <v>87</v>
      </c>
      <c r="C10" s="146"/>
      <c r="D10" s="66">
        <f>FPP!F14</f>
        <v>-270.27027027027032</v>
      </c>
      <c r="E10" s="67">
        <f>'Used Reg recovery'!E11</f>
        <v>-172.972972972973</v>
      </c>
      <c r="F10" s="68">
        <f>'Unused Reg recovery'!F12</f>
        <v>-54.79452054794519</v>
      </c>
      <c r="G10" s="69">
        <v>0</v>
      </c>
      <c r="H10" s="67">
        <v>0</v>
      </c>
      <c r="I10" s="70">
        <v>0</v>
      </c>
      <c r="J10" s="66">
        <v>0</v>
      </c>
      <c r="K10" s="67">
        <v>0</v>
      </c>
      <c r="L10" s="70">
        <v>0</v>
      </c>
      <c r="M10" s="155">
        <f t="shared" si="0"/>
        <v>-498.03776379118852</v>
      </c>
      <c r="N10" s="156"/>
      <c r="O10" s="62">
        <f>SUM(M10:N12)</f>
        <v>-1092.0701593581109</v>
      </c>
    </row>
    <row r="11" spans="2:15">
      <c r="B11" s="116" t="s">
        <v>85</v>
      </c>
      <c r="C11" s="146"/>
      <c r="D11" s="72">
        <v>0</v>
      </c>
      <c r="E11" s="73">
        <v>0</v>
      </c>
      <c r="F11" s="74">
        <v>0</v>
      </c>
      <c r="G11" s="75">
        <f>FPP!L11</f>
        <v>-211.76470588235296</v>
      </c>
      <c r="H11" s="73">
        <f>'Used Reg recovery'!J8</f>
        <v>-176.47058823529412</v>
      </c>
      <c r="I11" s="76">
        <f>'Unused Reg recovery'!L9</f>
        <v>0</v>
      </c>
      <c r="J11" s="72">
        <v>0</v>
      </c>
      <c r="K11" s="73">
        <v>0</v>
      </c>
      <c r="L11" s="76">
        <v>0</v>
      </c>
      <c r="M11" s="157">
        <f t="shared" si="0"/>
        <v>-388.23529411764707</v>
      </c>
      <c r="N11" s="158"/>
    </row>
    <row r="12" spans="2:15">
      <c r="B12" s="116" t="s">
        <v>88</v>
      </c>
      <c r="C12" s="146"/>
      <c r="D12" s="66">
        <v>0</v>
      </c>
      <c r="E12" s="67">
        <v>0</v>
      </c>
      <c r="F12" s="68">
        <v>0</v>
      </c>
      <c r="G12" s="69">
        <v>0</v>
      </c>
      <c r="H12" s="67">
        <v>0</v>
      </c>
      <c r="I12" s="70">
        <v>0</v>
      </c>
      <c r="J12" s="66">
        <f>FPP!R14</f>
        <v>-66.666666666666657</v>
      </c>
      <c r="K12" s="67">
        <f>'Used Reg recovery'!O11</f>
        <v>-66.666666666666671</v>
      </c>
      <c r="L12" s="70">
        <f>'Unused Reg recovery'!R12</f>
        <v>-72.463768115942003</v>
      </c>
      <c r="M12" s="155">
        <f t="shared" si="0"/>
        <v>-205.79710144927532</v>
      </c>
      <c r="N12" s="156"/>
    </row>
    <row r="13" spans="2:15" ht="15" thickBot="1">
      <c r="B13" s="120" t="s">
        <v>107</v>
      </c>
      <c r="C13" s="145"/>
      <c r="D13" s="77">
        <f>SUM(D4:D12)</f>
        <v>0</v>
      </c>
      <c r="E13" s="78">
        <f t="shared" ref="E13:M13" si="1">SUM(E4:E12)</f>
        <v>-320.00000000000006</v>
      </c>
      <c r="F13" s="79">
        <f t="shared" si="1"/>
        <v>-79.999999999999972</v>
      </c>
      <c r="G13" s="80">
        <f t="shared" si="1"/>
        <v>0</v>
      </c>
      <c r="H13" s="78">
        <f t="shared" si="1"/>
        <v>-250</v>
      </c>
      <c r="I13" s="81">
        <f t="shared" si="1"/>
        <v>0</v>
      </c>
      <c r="J13" s="77">
        <f t="shared" si="1"/>
        <v>0</v>
      </c>
      <c r="K13" s="78">
        <f t="shared" si="1"/>
        <v>-400.00000000000006</v>
      </c>
      <c r="L13" s="81">
        <f t="shared" si="1"/>
        <v>-99.999999999999972</v>
      </c>
      <c r="M13" s="149">
        <f t="shared" si="1"/>
        <v>-1150</v>
      </c>
      <c r="N13" s="150"/>
    </row>
    <row r="14" spans="2:15" ht="15" thickTop="1">
      <c r="D14" s="91"/>
      <c r="E14" s="91"/>
      <c r="F14" s="91"/>
      <c r="G14" s="91"/>
      <c r="H14" s="91"/>
      <c r="I14" s="91"/>
      <c r="J14" s="91"/>
      <c r="K14" s="91"/>
      <c r="L14" s="91"/>
      <c r="M14" s="91"/>
      <c r="N14" s="91"/>
    </row>
  </sheetData>
  <mergeCells count="22">
    <mergeCell ref="M9:N9"/>
    <mergeCell ref="M13:N13"/>
    <mergeCell ref="M2:N3"/>
    <mergeCell ref="M10:N10"/>
    <mergeCell ref="M11:N11"/>
    <mergeCell ref="M12:N12"/>
    <mergeCell ref="M4:N4"/>
    <mergeCell ref="M5:N5"/>
    <mergeCell ref="M6:N6"/>
    <mergeCell ref="M7:N7"/>
    <mergeCell ref="M8:N8"/>
    <mergeCell ref="B13:C13"/>
    <mergeCell ref="B10:C10"/>
    <mergeCell ref="B11:C11"/>
    <mergeCell ref="B12:C12"/>
    <mergeCell ref="B4:B6"/>
    <mergeCell ref="B7:B9"/>
    <mergeCell ref="G2:I2"/>
    <mergeCell ref="J2:L2"/>
    <mergeCell ref="C2:C3"/>
    <mergeCell ref="B2:B3"/>
    <mergeCell ref="D2:F2"/>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48c0e796e4048278b990f60b6de340e xmlns="5d1a2284-45bc-4927-a9f9-e51f9f17c21a">
      <Terms xmlns="http://schemas.microsoft.com/office/infopath/2007/PartnerControls"/>
    </n48c0e796e4048278b990f60b6de340e>
    <TaxCatchAll xmlns="5d1a2284-45bc-4927-a9f9-e51f9f17c21a" xsi:nil="true"/>
    <TaxKeywordTaxHTField xmlns="5d1a2284-45bc-4927-a9f9-e51f9f17c21a">
      <Terms xmlns="http://schemas.microsoft.com/office/infopath/2007/PartnerControls"/>
    </TaxKeywordTaxHTField>
    <lcf76f155ced4ddcb4097134ff3c332f xmlns="7a6896a7-b226-4349-87c0-e1dd16a3d3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95A27A10C738A44D904D7E1236EBC3DF" ma:contentTypeVersion="18" ma:contentTypeDescription="" ma:contentTypeScope="" ma:versionID="3bc7d427980ed81bf5d4f067f2116df5">
  <xsd:schema xmlns:xsd="http://www.w3.org/2001/XMLSchema" xmlns:xs="http://www.w3.org/2001/XMLSchema" xmlns:p="http://schemas.microsoft.com/office/2006/metadata/properties" xmlns:ns2="5d1a2284-45bc-4927-a9f9-e51f9f17c21a" xmlns:ns3="7a6896a7-b226-4349-87c0-e1dd16a3d3a1" targetNamespace="http://schemas.microsoft.com/office/2006/metadata/properties" ma:root="true" ma:fieldsID="85e216e31d88f15d4f87e5487c6d2a7b" ns2:_="" ns3:_="">
    <xsd:import namespace="5d1a2284-45bc-4927-a9f9-e51f9f17c21a"/>
    <xsd:import namespace="7a6896a7-b226-4349-87c0-e1dd16a3d3a1"/>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lcf76f155ced4ddcb4097134ff3c332f"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eb08a91-a083-4940-8e99-3ec895e0e5f5}" ma:internalName="TaxCatchAll" ma:showField="CatchAllData" ma:web="a6f29aa9-7f5b-4c7f-838f-74baf4792de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eb08a91-a083-4940-8e99-3ec895e0e5f5}" ma:internalName="TaxCatchAllLabel" ma:readOnly="true" ma:showField="CatchAllDataLabel" ma:web="a6f29aa9-7f5b-4c7f-838f-74baf4792de4">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6896a7-b226-4349-87c0-e1dd16a3d3a1" elementFormDefault="qualified">
    <xsd:import namespace="http://schemas.microsoft.com/office/2006/documentManagement/types"/>
    <xsd:import namespace="http://schemas.microsoft.com/office/infopath/2007/PartnerControls"/>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9E3EB6-F114-4E31-BB3C-89543D1285AC}"/>
</file>

<file path=customXml/itemProps2.xml><?xml version="1.0" encoding="utf-8"?>
<ds:datastoreItem xmlns:ds="http://schemas.openxmlformats.org/officeDocument/2006/customXml" ds:itemID="{954E306F-B0AE-4B75-AE3B-F8CEBD2D91AE}"/>
</file>

<file path=customXml/itemProps3.xml><?xml version="1.0" encoding="utf-8"?>
<ds:datastoreItem xmlns:ds="http://schemas.openxmlformats.org/officeDocument/2006/customXml" ds:itemID="{624BA80B-E3E1-4100-BE9D-D4A2688E9A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Johnson</dc:creator>
  <cp:keywords/>
  <dc:description/>
  <cp:lastModifiedBy/>
  <cp:revision/>
  <dcterms:created xsi:type="dcterms:W3CDTF">2022-10-28T23:59:16Z</dcterms:created>
  <dcterms:modified xsi:type="dcterms:W3CDTF">2022-11-03T22:30:45Z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2022-10-28T23:59:16Z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21dcd97e-fb53-4250-95c9-f41f3870b8c4</vt:lpwstr>
  </property>
  <property fmtid="{D5CDD505-2E9C-101B-9397-08002B2CF9AE}" pid="8" name="MSIP_Label_c1941c47-a837-430d-8559-fd118a72769e_ContentBits">
    <vt:lpwstr>0</vt:lpwstr>
  </property>
  <property fmtid="{D5CDD505-2E9C-101B-9397-08002B2CF9AE}" pid="9" name="ContentTypeId">
    <vt:lpwstr>0x01010082774FAFD2180F48AEEA8305B08ED5EB0095A27A10C738A44D904D7E1236EBC3DF</vt:lpwstr>
  </property>
</Properties>
</file>