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odger\Documents\Uploads Dec 2018\"/>
    </mc:Choice>
  </mc:AlternateContent>
  <xr:revisionPtr revIDLastSave="0" documentId="8_{75902708-A172-4EF0-8993-F1B70CDCD16A}" xr6:coauthVersionLast="31" xr6:coauthVersionMax="31" xr10:uidLastSave="{00000000-0000-0000-0000-000000000000}"/>
  <bookViews>
    <workbookView xWindow="0" yWindow="0" windowWidth="23040" windowHeight="9105" xr2:uid="{00000000-000D-0000-FFFF-FFFF00000000}"/>
  </bookViews>
  <sheets>
    <sheet name="Assumptions" sheetId="1" r:id="rId1"/>
    <sheet name="Results Summary" sheetId="11" r:id="rId2"/>
    <sheet name="Results Rank" sheetId="25" r:id="rId3"/>
    <sheet name="Benefits - Option B3" sheetId="20" r:id="rId4"/>
    <sheet name="Benefits - Option C2" sheetId="7" r:id="rId5"/>
  </sheets>
  <definedNames>
    <definedName name="Discount_rate">Assumptions!$B$4</definedName>
    <definedName name="Network_option_lifespan">Assumptions!$B$2</definedName>
    <definedName name="Network_payment_duration_years">Assumptions!$B$5</definedName>
    <definedName name="Non_network_option_lifespan">Assumptions!$B$3</definedName>
    <definedName name="Non_Network_payment_duration_years">Assumptions!$B$6</definedName>
    <definedName name="Option_B3_Cost">Assumptions!$C$28</definedName>
    <definedName name="Option_B3_Year">Assumptions!$E$28</definedName>
    <definedName name="Option_C2_PresentCost">Assumptions!$C$29</definedName>
    <definedName name="Option_C2_Year">Assumptions!$E$29</definedName>
    <definedName name="Snowylink_BringForwardcost">Assumptions!$C$30</definedName>
    <definedName name="Snowylink_Year">Assumptions!$E$30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7" l="1"/>
  <c r="Q41" i="7"/>
  <c r="Q42" i="7"/>
  <c r="J40" i="7"/>
  <c r="J43" i="7" s="1"/>
  <c r="J41" i="7"/>
  <c r="J42" i="7"/>
  <c r="C40" i="7"/>
  <c r="C41" i="7"/>
  <c r="C42" i="7"/>
  <c r="B10" i="7"/>
  <c r="C10" i="7"/>
  <c r="D10" i="7"/>
  <c r="G21" i="7" s="1"/>
  <c r="B11" i="7"/>
  <c r="H18" i="7" s="1"/>
  <c r="C11" i="7"/>
  <c r="D11" i="7"/>
  <c r="B12" i="7"/>
  <c r="I18" i="7" s="1"/>
  <c r="C12" i="7"/>
  <c r="D12" i="7"/>
  <c r="B19" i="20"/>
  <c r="B18" i="20"/>
  <c r="C3" i="20"/>
  <c r="B10" i="20"/>
  <c r="C10" i="20"/>
  <c r="G18" i="20" s="1"/>
  <c r="D10" i="20"/>
  <c r="B11" i="20"/>
  <c r="C11" i="20"/>
  <c r="D11" i="20"/>
  <c r="B12" i="20"/>
  <c r="C12" i="20"/>
  <c r="D12" i="20"/>
  <c r="G17" i="20"/>
  <c r="J30" i="7"/>
  <c r="J31" i="7"/>
  <c r="J32" i="7"/>
  <c r="J33" i="7"/>
  <c r="J34" i="7"/>
  <c r="J35" i="7"/>
  <c r="J36" i="7"/>
  <c r="J37" i="7"/>
  <c r="J38" i="7"/>
  <c r="J39" i="7"/>
  <c r="J72" i="7"/>
  <c r="J63" i="7"/>
  <c r="J64" i="7"/>
  <c r="L64" i="7" s="1"/>
  <c r="J65" i="7"/>
  <c r="L65" i="7" s="1"/>
  <c r="J66" i="7"/>
  <c r="L66" i="7" s="1"/>
  <c r="J67" i="7"/>
  <c r="L67" i="7" s="1"/>
  <c r="J68" i="7"/>
  <c r="L69" i="7" s="1"/>
  <c r="K46" i="7"/>
  <c r="Q68" i="7"/>
  <c r="Q69" i="7" s="1"/>
  <c r="S69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53" i="7"/>
  <c r="S53" i="7" s="1"/>
  <c r="J71" i="20"/>
  <c r="I105" i="7"/>
  <c r="S49" i="7"/>
  <c r="S50" i="7"/>
  <c r="S51" i="7"/>
  <c r="S52" i="7"/>
  <c r="S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48" i="7"/>
  <c r="R31" i="7"/>
  <c r="S31" i="7" s="1"/>
  <c r="R32" i="7"/>
  <c r="S32" i="7" s="1"/>
  <c r="R33" i="7"/>
  <c r="R34" i="7"/>
  <c r="S34" i="7" s="1"/>
  <c r="R35" i="7"/>
  <c r="S35" i="7" s="1"/>
  <c r="R36" i="7"/>
  <c r="S36" i="7" s="1"/>
  <c r="R37" i="7"/>
  <c r="R38" i="7"/>
  <c r="S38" i="7" s="1"/>
  <c r="R39" i="7"/>
  <c r="S39" i="7" s="1"/>
  <c r="R40" i="7"/>
  <c r="S40" i="7" s="1"/>
  <c r="R41" i="7"/>
  <c r="R42" i="7"/>
  <c r="S42" i="7" s="1"/>
  <c r="R30" i="7"/>
  <c r="R69" i="7"/>
  <c r="Q31" i="20"/>
  <c r="Q32" i="20"/>
  <c r="Q33" i="20"/>
  <c r="Q34" i="20"/>
  <c r="Q35" i="20"/>
  <c r="Q36" i="20"/>
  <c r="Q37" i="20"/>
  <c r="Q38" i="20"/>
  <c r="Q39" i="20"/>
  <c r="Q40" i="20"/>
  <c r="Q41" i="20"/>
  <c r="Q42" i="20"/>
  <c r="Q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30" i="20"/>
  <c r="H71" i="20"/>
  <c r="A71" i="20"/>
  <c r="Q71" i="20"/>
  <c r="C71" i="20"/>
  <c r="Q31" i="7"/>
  <c r="Q32" i="7"/>
  <c r="Q33" i="7"/>
  <c r="Q34" i="7"/>
  <c r="Q35" i="7"/>
  <c r="Q36" i="7"/>
  <c r="Q37" i="7"/>
  <c r="Q38" i="7"/>
  <c r="Q39" i="7"/>
  <c r="Q30" i="7"/>
  <c r="C31" i="7"/>
  <c r="C32" i="7"/>
  <c r="C33" i="7"/>
  <c r="C34" i="7"/>
  <c r="C35" i="7"/>
  <c r="C36" i="7"/>
  <c r="C37" i="7"/>
  <c r="C38" i="7"/>
  <c r="C39" i="7"/>
  <c r="C30" i="7"/>
  <c r="K36" i="7"/>
  <c r="L36" i="7" s="1"/>
  <c r="K30" i="7"/>
  <c r="L30" i="7" s="1"/>
  <c r="K31" i="7"/>
  <c r="L31" i="7" s="1"/>
  <c r="K32" i="7"/>
  <c r="L32" i="7" s="1"/>
  <c r="K33" i="7"/>
  <c r="L33" i="7" s="1"/>
  <c r="K34" i="7"/>
  <c r="L34" i="7" s="1"/>
  <c r="K35" i="7"/>
  <c r="L35" i="7" s="1"/>
  <c r="K37" i="7"/>
  <c r="L37" i="7" s="1"/>
  <c r="K38" i="7"/>
  <c r="L38" i="7" s="1"/>
  <c r="K39" i="7"/>
  <c r="L39" i="7" s="1"/>
  <c r="K40" i="7"/>
  <c r="L40" i="7" s="1"/>
  <c r="K41" i="7"/>
  <c r="L41" i="7" s="1"/>
  <c r="K42" i="7"/>
  <c r="L42" i="7" s="1"/>
  <c r="D30" i="7"/>
  <c r="E30" i="7" s="1"/>
  <c r="D31" i="7"/>
  <c r="E31" i="7" s="1"/>
  <c r="D32" i="7"/>
  <c r="E32" i="7" s="1"/>
  <c r="D33" i="7"/>
  <c r="E33" i="7" s="1"/>
  <c r="D34" i="7"/>
  <c r="E34" i="7" s="1"/>
  <c r="D35" i="7"/>
  <c r="E35" i="7" s="1"/>
  <c r="D36" i="7"/>
  <c r="E36" i="7" s="1"/>
  <c r="D37" i="7"/>
  <c r="E37" i="7" s="1"/>
  <c r="D38" i="7"/>
  <c r="E38" i="7" s="1"/>
  <c r="D39" i="7"/>
  <c r="E39" i="7" s="1"/>
  <c r="D40" i="7"/>
  <c r="E40" i="7" s="1"/>
  <c r="D41" i="7"/>
  <c r="E41" i="7" s="1"/>
  <c r="D42" i="7"/>
  <c r="E42" i="7" s="1"/>
  <c r="C72" i="7"/>
  <c r="S33" i="7"/>
  <c r="S37" i="7"/>
  <c r="S41" i="7"/>
  <c r="Q72" i="7"/>
  <c r="B19" i="7"/>
  <c r="B18" i="7"/>
  <c r="C3" i="7"/>
  <c r="A12" i="7"/>
  <c r="O108" i="7" s="1"/>
  <c r="H108" i="7"/>
  <c r="A108" i="7"/>
  <c r="A12" i="20"/>
  <c r="O107" i="20" s="1"/>
  <c r="H107" i="20"/>
  <c r="A107" i="20"/>
  <c r="A89" i="20"/>
  <c r="R30" i="20"/>
  <c r="S30" i="20" s="1"/>
  <c r="R31" i="20"/>
  <c r="S31" i="20" s="1"/>
  <c r="R32" i="20"/>
  <c r="S32" i="20" s="1"/>
  <c r="R33" i="20"/>
  <c r="S33" i="20" s="1"/>
  <c r="R34" i="20"/>
  <c r="S34" i="20" s="1"/>
  <c r="R35" i="20"/>
  <c r="S35" i="20" s="1"/>
  <c r="R36" i="20"/>
  <c r="S36" i="20" s="1"/>
  <c r="R37" i="20"/>
  <c r="S37" i="20" s="1"/>
  <c r="R38" i="20"/>
  <c r="S38" i="20" s="1"/>
  <c r="R39" i="20"/>
  <c r="S39" i="20" s="1"/>
  <c r="R40" i="20"/>
  <c r="S40" i="20"/>
  <c r="R41" i="20"/>
  <c r="S41" i="20" s="1"/>
  <c r="R42" i="20"/>
  <c r="S42" i="20" s="1"/>
  <c r="K30" i="20"/>
  <c r="L30" i="20" s="1"/>
  <c r="K31" i="20"/>
  <c r="L31" i="20" s="1"/>
  <c r="K32" i="20"/>
  <c r="L32" i="20" s="1"/>
  <c r="K33" i="20"/>
  <c r="L33" i="20"/>
  <c r="K34" i="20"/>
  <c r="L34" i="20" s="1"/>
  <c r="K35" i="20"/>
  <c r="L35" i="20"/>
  <c r="K36" i="20"/>
  <c r="L36" i="20" s="1"/>
  <c r="K37" i="20"/>
  <c r="L37" i="20"/>
  <c r="K38" i="20"/>
  <c r="L38" i="20" s="1"/>
  <c r="K39" i="20"/>
  <c r="L39" i="20"/>
  <c r="K40" i="20"/>
  <c r="L40" i="20" s="1"/>
  <c r="K41" i="20"/>
  <c r="L41" i="20"/>
  <c r="K42" i="20"/>
  <c r="L42" i="20" s="1"/>
  <c r="D30" i="20"/>
  <c r="E30" i="20"/>
  <c r="D31" i="20"/>
  <c r="E31" i="20" s="1"/>
  <c r="D32" i="20"/>
  <c r="E32" i="20"/>
  <c r="D33" i="20"/>
  <c r="E33" i="20" s="1"/>
  <c r="D34" i="20"/>
  <c r="E34" i="20"/>
  <c r="D35" i="20"/>
  <c r="E35" i="20" s="1"/>
  <c r="D36" i="20"/>
  <c r="E36" i="20"/>
  <c r="D37" i="20"/>
  <c r="E37" i="20" s="1"/>
  <c r="D38" i="20"/>
  <c r="E38" i="20"/>
  <c r="D39" i="20"/>
  <c r="E39" i="20" s="1"/>
  <c r="D40" i="20"/>
  <c r="E40" i="20"/>
  <c r="D41" i="20"/>
  <c r="E41" i="20" s="1"/>
  <c r="D42" i="20"/>
  <c r="L105" i="7"/>
  <c r="M105" i="7"/>
  <c r="B105" i="7"/>
  <c r="H72" i="7"/>
  <c r="A72" i="7"/>
  <c r="J30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T105" i="7"/>
  <c r="S105" i="7"/>
  <c r="R105" i="7"/>
  <c r="Q105" i="7"/>
  <c r="P105" i="7"/>
  <c r="E23" i="1"/>
  <c r="E12" i="7" s="1"/>
  <c r="D9" i="7"/>
  <c r="E9" i="7"/>
  <c r="E22" i="1"/>
  <c r="E11" i="7" s="1"/>
  <c r="E9" i="20"/>
  <c r="D9" i="20"/>
  <c r="E21" i="1"/>
  <c r="E10" i="20" s="1"/>
  <c r="T104" i="20"/>
  <c r="S104" i="20"/>
  <c r="R104" i="20"/>
  <c r="Q104" i="20"/>
  <c r="P104" i="20"/>
  <c r="S46" i="20"/>
  <c r="K105" i="7"/>
  <c r="J105" i="7"/>
  <c r="F105" i="7"/>
  <c r="E105" i="7"/>
  <c r="D105" i="7"/>
  <c r="C105" i="7"/>
  <c r="H90" i="7"/>
  <c r="A90" i="7"/>
  <c r="H46" i="7"/>
  <c r="A46" i="7"/>
  <c r="H28" i="7"/>
  <c r="A28" i="7"/>
  <c r="H89" i="20"/>
  <c r="H46" i="20"/>
  <c r="H28" i="20"/>
  <c r="A46" i="20"/>
  <c r="A28" i="20"/>
  <c r="A11" i="20"/>
  <c r="A10" i="20"/>
  <c r="C9" i="20"/>
  <c r="B9" i="20"/>
  <c r="A9" i="20"/>
  <c r="L46" i="20"/>
  <c r="E46" i="20"/>
  <c r="C21" i="7"/>
  <c r="B21" i="7"/>
  <c r="C20" i="7"/>
  <c r="B20" i="7"/>
  <c r="C19" i="7"/>
  <c r="C18" i="7"/>
  <c r="C17" i="7"/>
  <c r="B17" i="7"/>
  <c r="C16" i="7"/>
  <c r="B16" i="7"/>
  <c r="B15" i="7"/>
  <c r="C14" i="7"/>
  <c r="A11" i="7"/>
  <c r="A10" i="7"/>
  <c r="C9" i="7"/>
  <c r="B9" i="7"/>
  <c r="A9" i="7"/>
  <c r="C4" i="7"/>
  <c r="C2" i="7"/>
  <c r="C21" i="20"/>
  <c r="B21" i="20"/>
  <c r="C20" i="20"/>
  <c r="B20" i="20"/>
  <c r="C19" i="20"/>
  <c r="C18" i="20"/>
  <c r="C17" i="20"/>
  <c r="B17" i="20"/>
  <c r="C16" i="20"/>
  <c r="B16" i="20"/>
  <c r="B15" i="20"/>
  <c r="C14" i="20"/>
  <c r="C4" i="20"/>
  <c r="C2" i="20"/>
  <c r="M104" i="20"/>
  <c r="L104" i="20"/>
  <c r="K104" i="20"/>
  <c r="J104" i="20"/>
  <c r="I104" i="20"/>
  <c r="F104" i="20"/>
  <c r="E104" i="20"/>
  <c r="D104" i="20"/>
  <c r="C104" i="20"/>
  <c r="B104" i="20"/>
  <c r="D46" i="7"/>
  <c r="R46" i="7"/>
  <c r="C46" i="7"/>
  <c r="E46" i="7" s="1"/>
  <c r="E42" i="20"/>
  <c r="E43" i="20" l="1"/>
  <c r="O89" i="20"/>
  <c r="D43" i="20"/>
  <c r="K43" i="7"/>
  <c r="K24" i="7" s="1"/>
  <c r="L68" i="7"/>
  <c r="L43" i="7"/>
  <c r="R43" i="7"/>
  <c r="H21" i="20"/>
  <c r="Q43" i="20"/>
  <c r="I20" i="20"/>
  <c r="G17" i="7"/>
  <c r="I19" i="20"/>
  <c r="H17" i="7"/>
  <c r="Q43" i="7"/>
  <c r="E43" i="7"/>
  <c r="D43" i="7"/>
  <c r="R43" i="20"/>
  <c r="O28" i="20"/>
  <c r="J43" i="20"/>
  <c r="S30" i="7"/>
  <c r="S43" i="7" s="1"/>
  <c r="H19" i="20"/>
  <c r="I16" i="20"/>
  <c r="H15" i="7"/>
  <c r="C43" i="7"/>
  <c r="C24" i="7" s="1"/>
  <c r="E11" i="20"/>
  <c r="E12" i="20"/>
  <c r="O71" i="20"/>
  <c r="O46" i="7"/>
  <c r="J46" i="7"/>
  <c r="L46" i="7" s="1"/>
  <c r="J24" i="7" s="1"/>
  <c r="I15" i="20"/>
  <c r="H18" i="20"/>
  <c r="I21" i="20"/>
  <c r="G21" i="20"/>
  <c r="G20" i="7"/>
  <c r="O28" i="7"/>
  <c r="E10" i="7"/>
  <c r="O46" i="20"/>
  <c r="O90" i="7"/>
  <c r="C43" i="20"/>
  <c r="C24" i="20" s="1"/>
  <c r="I18" i="20"/>
  <c r="H17" i="20"/>
  <c r="G16" i="20"/>
  <c r="I19" i="7"/>
  <c r="L43" i="20"/>
  <c r="J24" i="20"/>
  <c r="S43" i="20"/>
  <c r="D24" i="20"/>
  <c r="Q24" i="20"/>
  <c r="K43" i="20"/>
  <c r="Q46" i="7"/>
  <c r="S46" i="7" s="1"/>
  <c r="Q24" i="7" s="1"/>
  <c r="L63" i="7"/>
  <c r="S68" i="7"/>
  <c r="I15" i="7"/>
  <c r="I20" i="7"/>
  <c r="H19" i="7"/>
  <c r="G18" i="7"/>
  <c r="I16" i="7"/>
  <c r="H16" i="7"/>
  <c r="G16" i="7"/>
  <c r="G15" i="20"/>
  <c r="H20" i="20"/>
  <c r="G19" i="20"/>
  <c r="I17" i="20"/>
  <c r="H16" i="20"/>
  <c r="I21" i="7"/>
  <c r="H20" i="7"/>
  <c r="G19" i="7"/>
  <c r="I17" i="7"/>
  <c r="H15" i="20"/>
  <c r="G20" i="20"/>
  <c r="G15" i="7"/>
  <c r="H21" i="7"/>
  <c r="R24" i="7" l="1"/>
  <c r="R24" i="20"/>
  <c r="S24" i="20" s="1"/>
  <c r="D7" i="20" s="1"/>
  <c r="K24" i="20"/>
  <c r="L24" i="7"/>
  <c r="C7" i="7" s="1"/>
  <c r="S24" i="7"/>
  <c r="D7" i="7" s="1"/>
  <c r="D24" i="7"/>
  <c r="E24" i="7" s="1"/>
  <c r="B7" i="7" s="1"/>
  <c r="E24" i="20"/>
  <c r="B7" i="20" s="1"/>
  <c r="L24" i="20"/>
  <c r="C7" i="20" s="1"/>
</calcChain>
</file>

<file path=xl/sharedStrings.xml><?xml version="1.0" encoding="utf-8"?>
<sst xmlns="http://schemas.openxmlformats.org/spreadsheetml/2006/main" count="342" uniqueCount="71">
  <si>
    <t>Region</t>
  </si>
  <si>
    <t>Year</t>
  </si>
  <si>
    <t>NSW</t>
  </si>
  <si>
    <t>SA</t>
  </si>
  <si>
    <t>Gross benefit</t>
  </si>
  <si>
    <t>Investment Cost</t>
  </si>
  <si>
    <t>Net benefit</t>
  </si>
  <si>
    <t>NPV</t>
  </si>
  <si>
    <t>Discount rate</t>
  </si>
  <si>
    <t>NEM</t>
  </si>
  <si>
    <t>Costs %</t>
  </si>
  <si>
    <t>Assumptions in use</t>
  </si>
  <si>
    <t>Costs - $M</t>
  </si>
  <si>
    <t>Base Assumptions</t>
  </si>
  <si>
    <t>Scenarios</t>
  </si>
  <si>
    <t>Total</t>
  </si>
  <si>
    <t>QLD</t>
  </si>
  <si>
    <t>TAS</t>
  </si>
  <si>
    <t>VIC</t>
  </si>
  <si>
    <t>Original investment year</t>
  </si>
  <si>
    <t>New investment year</t>
  </si>
  <si>
    <t>Bring forward cost</t>
  </si>
  <si>
    <t>Network option lifespan</t>
  </si>
  <si>
    <t>Non-network option lifespan</t>
  </si>
  <si>
    <t>Network payment duration (years)</t>
  </si>
  <si>
    <t>Non-Network payment duration (years)</t>
  </si>
  <si>
    <t>Payback period - years</t>
  </si>
  <si>
    <t>Payback period</t>
  </si>
  <si>
    <t>Calculation parameters</t>
  </si>
  <si>
    <t>Base assumptions</t>
  </si>
  <si>
    <t>Cost x 1.3</t>
  </si>
  <si>
    <t>Cost x 0.7</t>
  </si>
  <si>
    <t>Sensitivities</t>
  </si>
  <si>
    <t>Payback -5 years</t>
  </si>
  <si>
    <t>Payback +5 years</t>
  </si>
  <si>
    <t>Residual</t>
  </si>
  <si>
    <t>Average 3 years</t>
  </si>
  <si>
    <t>Description</t>
  </si>
  <si>
    <t>Option B3</t>
  </si>
  <si>
    <t>Option C2</t>
  </si>
  <si>
    <t>Options</t>
  </si>
  <si>
    <t>Shared assumptions (base)</t>
  </si>
  <si>
    <t>30 year contract</t>
  </si>
  <si>
    <t>10 year contract</t>
  </si>
  <si>
    <t>Snowylink</t>
  </si>
  <si>
    <t>Cost '000</t>
  </si>
  <si>
    <t>Benefits - Option B3</t>
  </si>
  <si>
    <t>Benefits - Option C2</t>
  </si>
  <si>
    <t>Base</t>
  </si>
  <si>
    <t>Discount rate 0.025</t>
  </si>
  <si>
    <t>Discount rate -0.025</t>
  </si>
  <si>
    <t>Neutral noIC</t>
  </si>
  <si>
    <t>Commitited gens</t>
  </si>
  <si>
    <t>Early coal retirement</t>
  </si>
  <si>
    <t>EC</t>
  </si>
  <si>
    <t>Terminal</t>
  </si>
  <si>
    <t>OPEX</t>
  </si>
  <si>
    <t>Base case</t>
  </si>
  <si>
    <t>Upgrade case</t>
  </si>
  <si>
    <t>Benefit</t>
  </si>
  <si>
    <t xml:space="preserve">Terminal </t>
  </si>
  <si>
    <t>AEMO contracts</t>
  </si>
  <si>
    <t>Fuel cost benefits and costs</t>
  </si>
  <si>
    <t>Change in transmission network costs</t>
  </si>
  <si>
    <t>Capital cost savings $000</t>
  </si>
  <si>
    <t>Generation fuel cost savings $000</t>
  </si>
  <si>
    <t>Do Nothing generation cost</t>
  </si>
  <si>
    <t>Name</t>
  </si>
  <si>
    <t>• Construction of a new 220 kV double circuit line from Moorabool to Elaine to Ballarat to Bulgana. 
• Retire Ballarat to Moorabool 220 kV circuit No.1 and cut in Ballarat to Moorabool 220 kV circuit No.2 at Elaine.
New easements</t>
  </si>
  <si>
    <t>• Construction of a new 220 kV double circuit line from Bulgana Terminal Station to Ballarat Terminal Station, or establish a new terminal station close to Ballarat, with a 220 kV double circuit connection to Ballarat Terminal Station. 
• Cut in Ballarat to Moorabool 220 kV circuit No.2 at Elaine.
New easements</t>
  </si>
  <si>
    <t>Construction of a new 500 kV double circuit line from the new terminal station to Sydenham Terminal Station, with 2 x 500/220 kV transformers. This forms part of the future Snowylink interconnector.
New easements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</si>
</sst>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A0101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222324"/>
      <name val="Tw Cen MT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2" fillId="0" borderId="1" xfId="0" applyFont="1" applyBorder="1"/>
    <xf numFmtId="9" fontId="0" fillId="0" borderId="1" xfId="0" applyNumberFormat="1" applyBorder="1"/>
    <xf numFmtId="9" fontId="0" fillId="0" borderId="1" xfId="2" applyFont="1" applyBorder="1"/>
    <xf numFmtId="0" fontId="2" fillId="0" borderId="0" xfId="0" applyFont="1"/>
    <xf numFmtId="0" fontId="2" fillId="0" borderId="0" xfId="0" applyFont="1" applyBorder="1"/>
    <xf numFmtId="0" fontId="0" fillId="0" borderId="1" xfId="0" applyFont="1" applyBorder="1"/>
    <xf numFmtId="0" fontId="0" fillId="0" borderId="0" xfId="0" applyFont="1" applyBorder="1"/>
    <xf numFmtId="43" fontId="0" fillId="0" borderId="0" xfId="1" applyFont="1" applyBorder="1"/>
    <xf numFmtId="0" fontId="0" fillId="0" borderId="1" xfId="0" applyFill="1" applyBorder="1"/>
    <xf numFmtId="0" fontId="0" fillId="0" borderId="0" xfId="0" applyFill="1"/>
    <xf numFmtId="9" fontId="0" fillId="2" borderId="1" xfId="2" applyFont="1" applyFill="1" applyBorder="1"/>
    <xf numFmtId="164" fontId="0" fillId="2" borderId="1" xfId="1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9" fontId="0" fillId="4" borderId="1" xfId="2" applyFont="1" applyFill="1" applyBorder="1"/>
    <xf numFmtId="0" fontId="0" fillId="2" borderId="1" xfId="0" applyFill="1" applyBorder="1"/>
    <xf numFmtId="0" fontId="0" fillId="5" borderId="1" xfId="0" applyFill="1" applyBorder="1"/>
    <xf numFmtId="9" fontId="0" fillId="5" borderId="1" xfId="2" applyFont="1" applyFill="1" applyBorder="1"/>
    <xf numFmtId="165" fontId="0" fillId="2" borderId="1" xfId="3" applyNumberFormat="1" applyFont="1" applyFill="1" applyBorder="1"/>
    <xf numFmtId="164" fontId="0" fillId="0" borderId="0" xfId="1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ont="1" applyFill="1" applyBorder="1"/>
    <xf numFmtId="165" fontId="0" fillId="4" borderId="1" xfId="3" applyNumberFormat="1" applyFont="1" applyFill="1" applyBorder="1"/>
    <xf numFmtId="0" fontId="3" fillId="0" borderId="1" xfId="0" applyFont="1" applyBorder="1"/>
    <xf numFmtId="0" fontId="4" fillId="0" borderId="0" xfId="0" applyFont="1" applyFill="1" applyBorder="1"/>
    <xf numFmtId="0" fontId="4" fillId="0" borderId="0" xfId="0" applyFont="1"/>
    <xf numFmtId="164" fontId="0" fillId="0" borderId="8" xfId="1" applyNumberFormat="1" applyFont="1" applyBorder="1"/>
    <xf numFmtId="0" fontId="0" fillId="0" borderId="8" xfId="0" applyBorder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8" fontId="0" fillId="0" borderId="0" xfId="0" applyNumberFormat="1"/>
    <xf numFmtId="0" fontId="0" fillId="6" borderId="1" xfId="0" applyFill="1" applyBorder="1"/>
    <xf numFmtId="164" fontId="0" fillId="6" borderId="1" xfId="1" applyNumberFormat="1" applyFont="1" applyFill="1" applyBorder="1"/>
    <xf numFmtId="0" fontId="0" fillId="0" borderId="0" xfId="0"/>
    <xf numFmtId="0" fontId="0" fillId="0" borderId="1" xfId="0" applyBorder="1"/>
    <xf numFmtId="0" fontId="6" fillId="0" borderId="0" xfId="0" applyFont="1" applyAlignment="1">
      <alignment vertical="center"/>
    </xf>
    <xf numFmtId="0" fontId="0" fillId="7" borderId="1" xfId="0" applyFill="1" applyBorder="1"/>
    <xf numFmtId="164" fontId="0" fillId="7" borderId="1" xfId="1" applyNumberFormat="1" applyFont="1" applyFill="1" applyBorder="1"/>
    <xf numFmtId="7" fontId="2" fillId="8" borderId="1" xfId="0" applyNumberFormat="1" applyFont="1" applyFill="1" applyBorder="1"/>
    <xf numFmtId="166" fontId="0" fillId="5" borderId="1" xfId="2" applyNumberFormat="1" applyFont="1" applyFill="1" applyBorder="1"/>
    <xf numFmtId="8" fontId="0" fillId="0" borderId="4" xfId="0" applyNumberFormat="1" applyBorder="1" applyAlignment="1"/>
    <xf numFmtId="0" fontId="0" fillId="0" borderId="0" xfId="0"/>
    <xf numFmtId="0" fontId="0" fillId="0" borderId="0" xfId="0" applyBorder="1"/>
    <xf numFmtId="8" fontId="0" fillId="0" borderId="0" xfId="0" applyNumberFormat="1" applyFill="1"/>
    <xf numFmtId="0" fontId="0" fillId="9" borderId="1" xfId="0" applyFill="1" applyBorder="1" applyAlignment="1">
      <alignment wrapText="1"/>
    </xf>
    <xf numFmtId="0" fontId="2" fillId="2" borderId="1" xfId="0" applyFont="1" applyFill="1" applyBorder="1"/>
    <xf numFmtId="7" fontId="0" fillId="0" borderId="0" xfId="0" applyNumberFormat="1"/>
    <xf numFmtId="0" fontId="0" fillId="0" borderId="0" xfId="0" applyFont="1" applyFill="1" applyBorder="1"/>
    <xf numFmtId="9" fontId="0" fillId="0" borderId="0" xfId="2" applyFont="1" applyBorder="1"/>
    <xf numFmtId="0" fontId="2" fillId="0" borderId="0" xfId="0" applyFont="1" applyBorder="1" applyAlignment="1">
      <alignment horizontal="left" vertical="center"/>
    </xf>
    <xf numFmtId="6" fontId="0" fillId="0" borderId="1" xfId="0" applyNumberFormat="1" applyBorder="1" applyAlignment="1"/>
    <xf numFmtId="5" fontId="0" fillId="0" borderId="0" xfId="0" applyNumberFormat="1" applyFill="1" applyBorder="1"/>
    <xf numFmtId="2" fontId="0" fillId="0" borderId="1" xfId="0" applyNumberFormat="1" applyBorder="1" applyAlignment="1"/>
    <xf numFmtId="164" fontId="0" fillId="0" borderId="0" xfId="0" applyNumberFormat="1"/>
    <xf numFmtId="0" fontId="0" fillId="0" borderId="0" xfId="0"/>
    <xf numFmtId="0" fontId="0" fillId="0" borderId="0" xfId="0" applyFill="1"/>
    <xf numFmtId="166" fontId="0" fillId="0" borderId="1" xfId="2" applyNumberFormat="1" applyFont="1" applyBorder="1"/>
    <xf numFmtId="2" fontId="0" fillId="0" borderId="1" xfId="0" applyNumberFormat="1" applyBorder="1"/>
    <xf numFmtId="8" fontId="0" fillId="0" borderId="1" xfId="0" applyNumberFormat="1" applyBorder="1" applyAlignment="1"/>
    <xf numFmtId="0" fontId="7" fillId="0" borderId="0" xfId="0" applyFont="1" applyBorder="1"/>
    <xf numFmtId="164" fontId="2" fillId="0" borderId="0" xfId="1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2">
    <cellStyle name="Comma" xfId="1" builtinId="3"/>
    <cellStyle name="Comma 2" xfId="4" xr:uid="{00000000-0005-0000-0000-000001000000}"/>
    <cellStyle name="Comma 2 2" xfId="7" xr:uid="{00000000-0005-0000-0000-000002000000}"/>
    <cellStyle name="Comma 3" xfId="6" xr:uid="{00000000-0005-0000-0000-000003000000}"/>
    <cellStyle name="Comma 3 2" xfId="8" xr:uid="{00000000-0005-0000-0000-000004000000}"/>
    <cellStyle name="Comma 4" xfId="9" xr:uid="{00000000-0005-0000-0000-000036000000}"/>
    <cellStyle name="Comma 5" xfId="10" xr:uid="{00000000-0005-0000-0000-000035000000}"/>
    <cellStyle name="Currency" xfId="3" builtinId="4"/>
    <cellStyle name="Currency 2" xfId="5" xr:uid="{00000000-0005-0000-0000-000006000000}"/>
    <cellStyle name="Currency 3" xfId="11" xr:uid="{00000000-0005-0000-0000-000036000000}"/>
    <cellStyle name="Normal" xfId="0" builtinId="0"/>
    <cellStyle name="Percent" xfId="2" builtinId="5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5243"/>
      <color rgb="FFE5673F"/>
      <color rgb="FFF72D6C"/>
      <color rgb="FFF84A80"/>
      <color rgb="FFFFE5E5"/>
      <color rgb="FFFFCCCC"/>
      <color rgb="FFFD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8"/>
  <sheetViews>
    <sheetView tabSelected="1" zoomScale="85" zoomScaleNormal="85" workbookViewId="0"/>
  </sheetViews>
  <sheetFormatPr defaultRowHeight="15" x14ac:dyDescent="0.25"/>
  <cols>
    <col min="1" max="1" width="25" customWidth="1"/>
    <col min="2" max="2" width="53" customWidth="1"/>
    <col min="3" max="3" width="37.7109375" customWidth="1"/>
    <col min="4" max="4" width="19.28515625" customWidth="1"/>
    <col min="5" max="5" width="12.140625" customWidth="1"/>
    <col min="6" max="6" width="12.140625" style="69" customWidth="1"/>
  </cols>
  <sheetData>
    <row r="1" spans="1:6" x14ac:dyDescent="0.25">
      <c r="A1" s="7" t="s">
        <v>41</v>
      </c>
    </row>
    <row r="2" spans="1:6" s="56" customFormat="1" x14ac:dyDescent="0.25">
      <c r="A2" s="16" t="s">
        <v>22</v>
      </c>
      <c r="B2" s="17">
        <v>50</v>
      </c>
      <c r="F2" s="69"/>
    </row>
    <row r="3" spans="1:6" x14ac:dyDescent="0.25">
      <c r="A3" s="16" t="s">
        <v>23</v>
      </c>
      <c r="B3" s="17">
        <v>15</v>
      </c>
    </row>
    <row r="4" spans="1:6" ht="15" customHeight="1" x14ac:dyDescent="0.25">
      <c r="A4" s="22" t="s">
        <v>8</v>
      </c>
      <c r="B4" s="23">
        <v>0.06</v>
      </c>
      <c r="C4" s="50"/>
    </row>
    <row r="5" spans="1:6" s="41" customFormat="1" x14ac:dyDescent="0.25">
      <c r="A5" s="46" t="s">
        <v>24</v>
      </c>
      <c r="B5" s="47">
        <v>30</v>
      </c>
      <c r="C5" s="50" t="s">
        <v>42</v>
      </c>
      <c r="F5" s="69"/>
    </row>
    <row r="6" spans="1:6" s="48" customFormat="1" x14ac:dyDescent="0.25">
      <c r="A6" s="46" t="s">
        <v>25</v>
      </c>
      <c r="B6" s="47">
        <v>10</v>
      </c>
      <c r="C6" s="50" t="s">
        <v>43</v>
      </c>
      <c r="F6" s="69"/>
    </row>
    <row r="7" spans="1:6" s="56" customFormat="1" x14ac:dyDescent="0.25">
      <c r="A7" s="57"/>
      <c r="B7" s="3"/>
      <c r="F7" s="69"/>
    </row>
    <row r="8" spans="1:6" s="2" customFormat="1" x14ac:dyDescent="0.25">
      <c r="A8" s="8" t="s">
        <v>32</v>
      </c>
      <c r="F8" s="57"/>
    </row>
    <row r="9" spans="1:6" x14ac:dyDescent="0.25">
      <c r="A9" s="22" t="s">
        <v>8</v>
      </c>
      <c r="B9" s="23">
        <v>0</v>
      </c>
    </row>
    <row r="10" spans="1:6" x14ac:dyDescent="0.25">
      <c r="A10" s="22"/>
      <c r="B10" s="54">
        <v>2.5000000000000001E-2</v>
      </c>
    </row>
    <row r="11" spans="1:6" x14ac:dyDescent="0.25">
      <c r="A11" s="22"/>
      <c r="B11" s="54">
        <v>-2.5000000000000001E-2</v>
      </c>
    </row>
    <row r="12" spans="1:6" x14ac:dyDescent="0.25">
      <c r="A12" s="18" t="s">
        <v>10</v>
      </c>
      <c r="B12" s="20">
        <v>1</v>
      </c>
    </row>
    <row r="13" spans="1:6" x14ac:dyDescent="0.25">
      <c r="A13" s="18"/>
      <c r="B13" s="20">
        <v>1.3</v>
      </c>
    </row>
    <row r="14" spans="1:6" x14ac:dyDescent="0.25">
      <c r="A14" s="18"/>
      <c r="B14" s="20">
        <v>0.7</v>
      </c>
    </row>
    <row r="15" spans="1:6" s="48" customFormat="1" x14ac:dyDescent="0.25">
      <c r="A15" s="51" t="s">
        <v>26</v>
      </c>
      <c r="B15" s="52">
        <v>0</v>
      </c>
      <c r="C15" s="50" t="s">
        <v>61</v>
      </c>
      <c r="F15" s="69"/>
    </row>
    <row r="16" spans="1:6" s="48" customFormat="1" x14ac:dyDescent="0.25">
      <c r="A16" s="51"/>
      <c r="B16" s="52">
        <v>-5</v>
      </c>
      <c r="F16" s="69"/>
    </row>
    <row r="17" spans="1:6" s="48" customFormat="1" x14ac:dyDescent="0.25">
      <c r="A17" s="51"/>
      <c r="B17" s="52">
        <v>5</v>
      </c>
      <c r="F17" s="69"/>
    </row>
    <row r="18" spans="1:6" s="13" customFormat="1" x14ac:dyDescent="0.25">
      <c r="A18" s="34"/>
      <c r="B18" s="25"/>
      <c r="F18" s="70"/>
    </row>
    <row r="19" spans="1:6" s="13" customFormat="1" x14ac:dyDescent="0.25">
      <c r="A19" s="29"/>
      <c r="B19" s="25"/>
      <c r="F19" s="70"/>
    </row>
    <row r="20" spans="1:6" x14ac:dyDescent="0.25">
      <c r="A20" s="60" t="s">
        <v>32</v>
      </c>
      <c r="B20" s="60" t="s">
        <v>51</v>
      </c>
      <c r="C20" s="60" t="s">
        <v>52</v>
      </c>
      <c r="D20" s="60" t="s">
        <v>53</v>
      </c>
      <c r="E20" s="60" t="s">
        <v>15</v>
      </c>
    </row>
    <row r="21" spans="1:6" x14ac:dyDescent="0.25">
      <c r="A21" s="49" t="s">
        <v>51</v>
      </c>
      <c r="B21" s="5">
        <v>1</v>
      </c>
      <c r="C21" s="5">
        <v>0</v>
      </c>
      <c r="D21" s="5">
        <v>0</v>
      </c>
      <c r="E21" s="5">
        <f>SUM(B21:D21)</f>
        <v>1</v>
      </c>
    </row>
    <row r="22" spans="1:6" s="48" customFormat="1" x14ac:dyDescent="0.25">
      <c r="A22" s="49" t="s">
        <v>52</v>
      </c>
      <c r="B22" s="5">
        <v>0</v>
      </c>
      <c r="C22" s="5">
        <v>1</v>
      </c>
      <c r="D22" s="5">
        <v>0</v>
      </c>
      <c r="E22" s="5">
        <f>SUM(B22:D22)</f>
        <v>1</v>
      </c>
    </row>
    <row r="23" spans="1:6" s="69" customFormat="1" x14ac:dyDescent="0.25">
      <c r="A23" s="49" t="s">
        <v>53</v>
      </c>
      <c r="B23" s="5">
        <v>0</v>
      </c>
      <c r="C23" s="5">
        <v>0</v>
      </c>
      <c r="D23" s="5">
        <v>1</v>
      </c>
      <c r="E23" s="5">
        <f>SUM(B23:D23)</f>
        <v>1</v>
      </c>
    </row>
    <row r="24" spans="1:6" x14ac:dyDescent="0.25">
      <c r="A24" s="35"/>
    </row>
    <row r="25" spans="1:6" s="56" customFormat="1" x14ac:dyDescent="0.25">
      <c r="A25" s="35"/>
      <c r="F25" s="69"/>
    </row>
    <row r="26" spans="1:6" s="56" customFormat="1" x14ac:dyDescent="0.25">
      <c r="A26" s="8" t="s">
        <v>40</v>
      </c>
      <c r="B26" s="3"/>
      <c r="F26" s="69"/>
    </row>
    <row r="27" spans="1:6" x14ac:dyDescent="0.25">
      <c r="A27" s="60" t="s">
        <v>67</v>
      </c>
      <c r="B27" s="60" t="s">
        <v>37</v>
      </c>
      <c r="C27" s="60" t="s">
        <v>45</v>
      </c>
      <c r="D27" s="60" t="s">
        <v>56</v>
      </c>
      <c r="E27" s="60" t="s">
        <v>1</v>
      </c>
    </row>
    <row r="28" spans="1:6" s="48" customFormat="1" ht="90" x14ac:dyDescent="0.25">
      <c r="A28" s="49" t="s">
        <v>38</v>
      </c>
      <c r="B28" s="59" t="s">
        <v>68</v>
      </c>
      <c r="C28" s="1">
        <v>339610.25196523999</v>
      </c>
      <c r="D28" s="71">
        <v>6.3470974264544788E-3</v>
      </c>
      <c r="E28" s="49">
        <v>2024</v>
      </c>
    </row>
    <row r="29" spans="1:6" s="41" customFormat="1" ht="136.5" customHeight="1" x14ac:dyDescent="0.25">
      <c r="A29" s="49" t="s">
        <v>39</v>
      </c>
      <c r="B29" s="59" t="s">
        <v>69</v>
      </c>
      <c r="C29" s="1">
        <v>203215.31434031524</v>
      </c>
      <c r="D29" s="71">
        <v>8.5290674729930818E-3</v>
      </c>
      <c r="E29" s="49">
        <v>2025</v>
      </c>
    </row>
    <row r="30" spans="1:6" ht="90" x14ac:dyDescent="0.25">
      <c r="A30" s="49" t="s">
        <v>44</v>
      </c>
      <c r="B30" s="59" t="s">
        <v>70</v>
      </c>
      <c r="C30" s="1">
        <v>295668.58299054886</v>
      </c>
      <c r="D30" s="49"/>
      <c r="E30" s="49">
        <v>2035</v>
      </c>
    </row>
    <row r="31" spans="1:6" s="48" customFormat="1" x14ac:dyDescent="0.25">
      <c r="F31" s="69"/>
    </row>
    <row r="33" spans="1:6" s="56" customFormat="1" x14ac:dyDescent="0.25">
      <c r="F33" s="69"/>
    </row>
    <row r="34" spans="1:6" s="48" customFormat="1" x14ac:dyDescent="0.25">
      <c r="F34" s="69"/>
    </row>
    <row r="36" spans="1:6" x14ac:dyDescent="0.25">
      <c r="A36" s="2"/>
      <c r="B36" s="3"/>
    </row>
    <row r="38" spans="1:6" x14ac:dyDescent="0.25">
      <c r="A38" s="3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V116"/>
  <sheetViews>
    <sheetView zoomScaleNormal="100" workbookViewId="0"/>
  </sheetViews>
  <sheetFormatPr defaultColWidth="14.7109375" defaultRowHeight="15" x14ac:dyDescent="0.25"/>
  <cols>
    <col min="1" max="1" width="19" bestFit="1" customWidth="1"/>
    <col min="2" max="2" width="12.140625" bestFit="1" customWidth="1"/>
    <col min="3" max="3" width="16.28515625" bestFit="1" customWidth="1"/>
    <col min="4" max="4" width="19.7109375" bestFit="1" customWidth="1"/>
    <col min="5" max="5" width="12.140625" style="69" bestFit="1" customWidth="1"/>
    <col min="6" max="6" width="16.28515625" style="69" bestFit="1" customWidth="1"/>
    <col min="7" max="7" width="19.7109375" style="69" bestFit="1" customWidth="1"/>
    <col min="8" max="8" width="17.85546875" style="69" customWidth="1"/>
    <col min="9" max="9" width="12.140625" style="69" bestFit="1" customWidth="1"/>
    <col min="10" max="10" width="16.28515625" style="69" bestFit="1" customWidth="1"/>
    <col min="11" max="11" width="19.7109375" style="69" bestFit="1" customWidth="1"/>
    <col min="12" max="12" width="12.140625" style="69" bestFit="1" customWidth="1"/>
    <col min="13" max="13" width="16.28515625" style="69" bestFit="1" customWidth="1"/>
    <col min="14" max="14" width="19.7109375" style="69" bestFit="1" customWidth="1"/>
    <col min="15" max="15" width="11.5703125" style="69" bestFit="1" customWidth="1"/>
    <col min="16" max="16" width="17.85546875" style="69" customWidth="1"/>
    <col min="17" max="17" width="12.140625" style="69" bestFit="1" customWidth="1"/>
    <col min="18" max="18" width="16.28515625" style="69" bestFit="1" customWidth="1"/>
    <col min="19" max="19" width="19.7109375" style="69" bestFit="1" customWidth="1"/>
    <col min="20" max="20" width="12.140625" style="69" bestFit="1" customWidth="1"/>
    <col min="21" max="21" width="16.28515625" style="69" bestFit="1" customWidth="1"/>
    <col min="22" max="22" width="19.7109375" style="69" bestFit="1" customWidth="1"/>
  </cols>
  <sheetData>
    <row r="1" spans="1:22" x14ac:dyDescent="0.25">
      <c r="A1" t="s">
        <v>46</v>
      </c>
      <c r="B1" t="s">
        <v>51</v>
      </c>
      <c r="C1" s="61" t="s">
        <v>52</v>
      </c>
      <c r="D1" t="s">
        <v>53</v>
      </c>
      <c r="E1" s="61" t="s">
        <v>51</v>
      </c>
      <c r="F1" s="69" t="s">
        <v>52</v>
      </c>
      <c r="G1" s="61" t="s">
        <v>53</v>
      </c>
      <c r="I1" s="61"/>
      <c r="J1" s="61"/>
      <c r="L1" s="61"/>
      <c r="O1" s="61"/>
      <c r="Q1" s="61"/>
      <c r="R1" s="61"/>
      <c r="T1" s="61"/>
    </row>
    <row r="2" spans="1:22" x14ac:dyDescent="0.25">
      <c r="A2" t="s">
        <v>29</v>
      </c>
      <c r="B2" s="61">
        <v>110394.25</v>
      </c>
      <c r="C2" s="61">
        <v>117030.63</v>
      </c>
      <c r="D2" s="61">
        <v>59155.25</v>
      </c>
      <c r="E2" s="61">
        <v>110394.25</v>
      </c>
      <c r="F2" s="61">
        <v>117030.63</v>
      </c>
      <c r="G2" s="61">
        <v>59155.25</v>
      </c>
      <c r="I2" s="61"/>
      <c r="J2" s="61"/>
      <c r="K2" s="61"/>
      <c r="L2" s="61"/>
      <c r="M2" s="61"/>
      <c r="N2" s="61"/>
      <c r="O2" s="61"/>
      <c r="Q2" s="61"/>
      <c r="R2" s="61"/>
      <c r="S2" s="61"/>
      <c r="T2" s="61"/>
      <c r="U2" s="61"/>
      <c r="V2" s="61"/>
    </row>
    <row r="3" spans="1:22" x14ac:dyDescent="0.25">
      <c r="A3" t="s">
        <v>49</v>
      </c>
      <c r="B3" s="61">
        <v>46352.83</v>
      </c>
      <c r="C3" s="61">
        <v>-4808.68</v>
      </c>
      <c r="D3" s="61">
        <v>4430.03</v>
      </c>
      <c r="E3" s="61">
        <v>46352.83</v>
      </c>
      <c r="F3" s="61">
        <v>-4808.68</v>
      </c>
      <c r="G3" s="61">
        <v>4430.03</v>
      </c>
      <c r="I3" s="61"/>
      <c r="J3" s="61"/>
      <c r="K3" s="61"/>
      <c r="L3" s="61"/>
      <c r="M3" s="61"/>
      <c r="N3" s="61"/>
      <c r="O3" s="61"/>
      <c r="Q3" s="61"/>
      <c r="R3" s="61"/>
      <c r="S3" s="61"/>
      <c r="T3" s="61"/>
      <c r="U3" s="61"/>
      <c r="V3" s="61"/>
    </row>
    <row r="4" spans="1:22" x14ac:dyDescent="0.25">
      <c r="A4" t="s">
        <v>50</v>
      </c>
      <c r="B4" s="61">
        <v>232417.97</v>
      </c>
      <c r="C4" s="61">
        <v>385410.61</v>
      </c>
      <c r="D4" s="61">
        <v>169617.99</v>
      </c>
      <c r="E4" s="61">
        <v>232417.97</v>
      </c>
      <c r="F4" s="61">
        <v>385410.61</v>
      </c>
      <c r="G4" s="61">
        <v>169617.99</v>
      </c>
      <c r="I4" s="61"/>
      <c r="J4" s="61"/>
      <c r="K4" s="61"/>
      <c r="L4" s="61"/>
      <c r="M4" s="61"/>
      <c r="N4" s="61"/>
      <c r="O4" s="61"/>
      <c r="Q4" s="61"/>
      <c r="R4" s="61"/>
      <c r="S4" s="61"/>
      <c r="T4" s="61"/>
      <c r="U4" s="61"/>
      <c r="V4" s="61"/>
    </row>
    <row r="5" spans="1:22" x14ac:dyDescent="0.25">
      <c r="A5" t="s">
        <v>30</v>
      </c>
      <c r="B5" s="61">
        <v>31506.53</v>
      </c>
      <c r="C5" s="61">
        <v>38142.910000000003</v>
      </c>
      <c r="D5" s="61">
        <v>-19732.46</v>
      </c>
      <c r="E5" s="61">
        <v>31506.53</v>
      </c>
      <c r="F5" s="61">
        <v>38142.910000000003</v>
      </c>
      <c r="G5" s="61">
        <v>-19732.46</v>
      </c>
      <c r="I5" s="61"/>
      <c r="J5" s="61"/>
      <c r="K5" s="61"/>
      <c r="L5" s="61"/>
      <c r="M5" s="61"/>
      <c r="N5" s="61"/>
      <c r="O5" s="61"/>
      <c r="Q5" s="61"/>
      <c r="R5" s="61"/>
      <c r="S5" s="61"/>
      <c r="T5" s="61"/>
      <c r="U5" s="61"/>
      <c r="V5" s="61"/>
    </row>
    <row r="6" spans="1:22" x14ac:dyDescent="0.25">
      <c r="A6" t="s">
        <v>31</v>
      </c>
      <c r="B6" s="61">
        <v>189281.95</v>
      </c>
      <c r="C6" s="61">
        <v>195918.34</v>
      </c>
      <c r="D6" s="61">
        <v>138042.96</v>
      </c>
      <c r="E6" s="61">
        <v>189281.95</v>
      </c>
      <c r="F6" s="61">
        <v>195918.34</v>
      </c>
      <c r="G6" s="61">
        <v>138042.96</v>
      </c>
      <c r="I6" s="61"/>
      <c r="J6" s="61"/>
      <c r="K6" s="61"/>
      <c r="L6" s="61"/>
      <c r="M6" s="61"/>
      <c r="N6" s="61"/>
      <c r="O6" s="61"/>
      <c r="Q6" s="61"/>
      <c r="R6" s="61"/>
      <c r="S6" s="61"/>
      <c r="T6" s="61"/>
      <c r="U6" s="61"/>
      <c r="V6" s="61"/>
    </row>
    <row r="7" spans="1:22" x14ac:dyDescent="0.25">
      <c r="A7" t="s">
        <v>33</v>
      </c>
      <c r="B7" s="61">
        <v>109812.91</v>
      </c>
      <c r="C7" s="61">
        <v>116449.29</v>
      </c>
      <c r="D7" s="61">
        <v>58573.91</v>
      </c>
      <c r="E7" s="61">
        <v>109812.91</v>
      </c>
      <c r="F7" s="61">
        <v>116449.29</v>
      </c>
      <c r="G7" s="61">
        <v>58573.91</v>
      </c>
      <c r="I7" s="61"/>
      <c r="J7" s="61"/>
      <c r="K7" s="61"/>
      <c r="L7" s="61"/>
      <c r="M7" s="61"/>
      <c r="N7" s="61"/>
      <c r="O7" s="61"/>
      <c r="Q7" s="61"/>
      <c r="R7" s="61"/>
      <c r="S7" s="61"/>
      <c r="T7" s="61"/>
      <c r="U7" s="61"/>
      <c r="V7" s="61"/>
    </row>
    <row r="8" spans="1:22" x14ac:dyDescent="0.25">
      <c r="A8" t="s">
        <v>34</v>
      </c>
      <c r="B8" s="61">
        <v>110777.28</v>
      </c>
      <c r="C8" s="61">
        <v>117413.66</v>
      </c>
      <c r="D8" s="61">
        <v>59538.28</v>
      </c>
      <c r="E8" s="61">
        <v>110777.28</v>
      </c>
      <c r="F8" s="61">
        <v>117413.66</v>
      </c>
      <c r="G8" s="61">
        <v>59538.28</v>
      </c>
      <c r="I8" s="61"/>
      <c r="J8" s="61"/>
      <c r="K8" s="61"/>
      <c r="L8" s="61"/>
      <c r="M8" s="61"/>
      <c r="N8" s="61"/>
      <c r="O8" s="61"/>
      <c r="Q8" s="61"/>
      <c r="R8" s="61"/>
      <c r="S8" s="61"/>
      <c r="T8" s="61"/>
      <c r="U8" s="61"/>
      <c r="V8" s="61"/>
    </row>
    <row r="9" spans="1:22" x14ac:dyDescent="0.25">
      <c r="B9" s="61"/>
      <c r="C9" s="61"/>
      <c r="D9" s="61"/>
      <c r="E9" s="61"/>
      <c r="F9" s="61"/>
      <c r="G9" s="61"/>
      <c r="I9" s="61"/>
      <c r="J9" s="61"/>
      <c r="K9" s="61"/>
      <c r="L9" s="61"/>
      <c r="O9" s="61"/>
      <c r="Q9" s="61"/>
      <c r="R9" s="61"/>
      <c r="S9" s="61"/>
      <c r="T9" s="61"/>
    </row>
    <row r="10" spans="1:22" x14ac:dyDescent="0.25">
      <c r="A10" t="s">
        <v>47</v>
      </c>
      <c r="B10" s="61" t="s">
        <v>51</v>
      </c>
      <c r="C10" s="61" t="s">
        <v>52</v>
      </c>
      <c r="D10" s="61" t="s">
        <v>53</v>
      </c>
      <c r="E10" s="61" t="s">
        <v>51</v>
      </c>
      <c r="F10" s="61" t="s">
        <v>52</v>
      </c>
      <c r="G10" s="61" t="s">
        <v>53</v>
      </c>
      <c r="I10" s="61"/>
      <c r="J10" s="61"/>
      <c r="K10" s="61"/>
      <c r="L10" s="61"/>
      <c r="O10" s="61"/>
      <c r="Q10" s="61"/>
      <c r="R10" s="61"/>
      <c r="S10" s="61"/>
      <c r="T10" s="61"/>
    </row>
    <row r="11" spans="1:22" x14ac:dyDescent="0.25">
      <c r="A11" t="s">
        <v>29</v>
      </c>
      <c r="B11" s="61">
        <v>9246.56</v>
      </c>
      <c r="C11" s="61">
        <v>123324.94</v>
      </c>
      <c r="D11" s="61">
        <v>162598.28</v>
      </c>
      <c r="E11" s="61">
        <v>9246.56</v>
      </c>
      <c r="F11" s="61">
        <v>123324.94</v>
      </c>
      <c r="G11" s="61">
        <v>162598.28</v>
      </c>
      <c r="I11" s="61"/>
      <c r="J11" s="61"/>
      <c r="K11" s="61"/>
      <c r="L11" s="61"/>
      <c r="M11" s="61"/>
      <c r="N11" s="61"/>
      <c r="O11" s="61"/>
      <c r="Q11" s="61"/>
      <c r="R11" s="61"/>
      <c r="S11" s="61"/>
      <c r="T11" s="61"/>
      <c r="U11" s="61"/>
      <c r="V11" s="61"/>
    </row>
    <row r="12" spans="1:22" x14ac:dyDescent="0.25">
      <c r="A12" t="s">
        <v>49</v>
      </c>
      <c r="B12" s="61">
        <v>-38898.04</v>
      </c>
      <c r="C12" s="61">
        <v>-17586.87</v>
      </c>
      <c r="D12" s="61">
        <v>102209.52</v>
      </c>
      <c r="E12" s="61">
        <v>-38898.04</v>
      </c>
      <c r="F12" s="61">
        <v>-17586.87</v>
      </c>
      <c r="G12" s="61">
        <v>102209.52</v>
      </c>
      <c r="I12" s="61"/>
      <c r="J12" s="61"/>
      <c r="K12" s="61"/>
      <c r="L12" s="61"/>
      <c r="M12" s="61"/>
      <c r="N12" s="61"/>
      <c r="O12" s="61"/>
      <c r="Q12" s="61"/>
      <c r="R12" s="61"/>
      <c r="S12" s="61"/>
      <c r="T12" s="61"/>
      <c r="U12" s="61"/>
      <c r="V12" s="61"/>
    </row>
    <row r="13" spans="1:22" s="56" customFormat="1" x14ac:dyDescent="0.25">
      <c r="A13" s="56" t="s">
        <v>50</v>
      </c>
      <c r="B13" s="61">
        <v>114267.52</v>
      </c>
      <c r="C13" s="61">
        <v>428725.01</v>
      </c>
      <c r="D13" s="61">
        <v>279973.84999999998</v>
      </c>
      <c r="E13" s="61">
        <v>114267.52</v>
      </c>
      <c r="F13" s="61">
        <v>428725.01</v>
      </c>
      <c r="G13" s="61">
        <v>279973.84999999998</v>
      </c>
      <c r="H13" s="69"/>
      <c r="I13" s="61"/>
      <c r="J13" s="61"/>
      <c r="K13" s="61"/>
      <c r="L13" s="61"/>
      <c r="M13" s="61"/>
      <c r="N13" s="61"/>
      <c r="O13" s="61"/>
      <c r="P13" s="69"/>
      <c r="Q13" s="61"/>
      <c r="R13" s="61"/>
      <c r="S13" s="61"/>
      <c r="T13" s="61"/>
      <c r="U13" s="61"/>
      <c r="V13" s="61"/>
    </row>
    <row r="14" spans="1:22" x14ac:dyDescent="0.25">
      <c r="A14" t="s">
        <v>30</v>
      </c>
      <c r="B14" s="61">
        <v>-100041.63</v>
      </c>
      <c r="C14" s="61">
        <v>49701.82</v>
      </c>
      <c r="D14" s="61">
        <v>118595.02</v>
      </c>
      <c r="E14" s="61">
        <v>-100041.63</v>
      </c>
      <c r="F14" s="61">
        <v>49701.82</v>
      </c>
      <c r="G14" s="61">
        <v>118595.02</v>
      </c>
      <c r="I14" s="61"/>
      <c r="J14" s="61"/>
      <c r="K14" s="61"/>
      <c r="L14" s="61"/>
      <c r="M14" s="61"/>
      <c r="N14" s="61"/>
      <c r="O14" s="61"/>
      <c r="Q14" s="61"/>
      <c r="R14" s="61"/>
      <c r="S14" s="61"/>
      <c r="T14" s="61"/>
      <c r="U14" s="61"/>
      <c r="V14" s="61"/>
    </row>
    <row r="15" spans="1:22" x14ac:dyDescent="0.25">
      <c r="A15" t="s">
        <v>31</v>
      </c>
      <c r="B15" s="61">
        <v>118534.74</v>
      </c>
      <c r="C15" s="61">
        <v>196948.06</v>
      </c>
      <c r="D15" s="61">
        <v>206601.53</v>
      </c>
      <c r="E15" s="61">
        <v>118534.74</v>
      </c>
      <c r="F15" s="61">
        <v>196948.06</v>
      </c>
      <c r="G15" s="61">
        <v>206601.53</v>
      </c>
      <c r="I15" s="61"/>
      <c r="J15" s="61"/>
      <c r="K15" s="61"/>
      <c r="L15" s="61"/>
      <c r="M15" s="61"/>
      <c r="N15" s="61"/>
      <c r="O15" s="61"/>
      <c r="Q15" s="61"/>
      <c r="R15" s="61"/>
      <c r="S15" s="61"/>
      <c r="T15" s="61"/>
      <c r="U15" s="61"/>
      <c r="V15" s="61"/>
    </row>
    <row r="16" spans="1:22" x14ac:dyDescent="0.25">
      <c r="A16" t="s">
        <v>33</v>
      </c>
      <c r="B16" s="61">
        <v>8509.43</v>
      </c>
      <c r="C16" s="61">
        <v>114288.92</v>
      </c>
      <c r="D16" s="61">
        <v>146999.10999999999</v>
      </c>
      <c r="E16" s="61">
        <v>8509.43</v>
      </c>
      <c r="F16" s="61">
        <v>114288.92</v>
      </c>
      <c r="G16" s="61">
        <v>146999.10999999999</v>
      </c>
      <c r="I16" s="61"/>
      <c r="J16" s="61"/>
      <c r="K16" s="61"/>
      <c r="L16" s="61"/>
      <c r="M16" s="61"/>
      <c r="N16" s="61"/>
      <c r="O16" s="61"/>
      <c r="Q16" s="61"/>
      <c r="R16" s="61"/>
      <c r="S16" s="61"/>
      <c r="T16" s="61"/>
      <c r="U16" s="61"/>
      <c r="V16" s="61"/>
    </row>
    <row r="17" spans="1:22" x14ac:dyDescent="0.25">
      <c r="A17" t="s">
        <v>34</v>
      </c>
      <c r="B17" s="61">
        <v>9732.23</v>
      </c>
      <c r="C17" s="61">
        <v>130012.02</v>
      </c>
      <c r="D17" s="61">
        <v>174189.73</v>
      </c>
      <c r="E17" s="61">
        <v>9732.23</v>
      </c>
      <c r="F17" s="61">
        <v>130012.02</v>
      </c>
      <c r="G17" s="61">
        <v>174189.73</v>
      </c>
      <c r="I17" s="61"/>
      <c r="J17" s="61"/>
      <c r="K17" s="61"/>
      <c r="L17" s="61"/>
      <c r="M17" s="61"/>
      <c r="N17" s="61"/>
      <c r="O17" s="61"/>
      <c r="Q17" s="61"/>
      <c r="R17" s="61"/>
      <c r="S17" s="61"/>
      <c r="T17" s="61"/>
      <c r="U17" s="61"/>
      <c r="V17" s="61"/>
    </row>
    <row r="18" spans="1:22" x14ac:dyDescent="0.25">
      <c r="B18" s="61"/>
      <c r="C18" s="61"/>
      <c r="D18" s="61"/>
      <c r="E18" s="61"/>
      <c r="F18" s="61"/>
      <c r="G18" s="61"/>
      <c r="I18" s="61"/>
      <c r="J18" s="61"/>
      <c r="K18" s="61"/>
      <c r="L18" s="61"/>
      <c r="O18" s="61"/>
      <c r="Q18" s="61"/>
      <c r="R18" s="61"/>
      <c r="S18" s="61"/>
      <c r="T18" s="61"/>
    </row>
    <row r="19" spans="1:22" x14ac:dyDescent="0.25">
      <c r="B19" s="61"/>
      <c r="C19" s="61"/>
      <c r="D19" s="61"/>
      <c r="E19" s="61"/>
      <c r="F19" s="61"/>
      <c r="G19" s="61"/>
      <c r="I19" s="61"/>
      <c r="J19" s="61"/>
      <c r="K19" s="61"/>
      <c r="L19" s="61"/>
      <c r="O19" s="61"/>
      <c r="Q19" s="61"/>
      <c r="R19" s="61"/>
      <c r="S19" s="61"/>
      <c r="T19" s="61"/>
    </row>
    <row r="20" spans="1:22" x14ac:dyDescent="0.25">
      <c r="B20" s="61"/>
      <c r="C20" s="61"/>
      <c r="D20" s="61"/>
      <c r="I20" s="61"/>
      <c r="J20" s="61"/>
      <c r="K20" s="61"/>
      <c r="L20" s="61"/>
      <c r="O20" s="61"/>
      <c r="Q20" s="61"/>
      <c r="R20" s="61"/>
      <c r="S20" s="61"/>
      <c r="T20" s="61"/>
    </row>
    <row r="21" spans="1:22" x14ac:dyDescent="0.25">
      <c r="B21" s="61"/>
      <c r="C21" s="61"/>
      <c r="D21" s="61"/>
      <c r="I21" s="61"/>
      <c r="J21" s="61"/>
      <c r="K21" s="61"/>
      <c r="L21" s="61"/>
      <c r="O21" s="61"/>
      <c r="Q21" s="61"/>
      <c r="R21" s="61"/>
      <c r="S21" s="61"/>
      <c r="T21" s="61"/>
    </row>
    <row r="22" spans="1:22" x14ac:dyDescent="0.25">
      <c r="B22" s="61"/>
      <c r="C22" s="61"/>
      <c r="E22" s="61"/>
      <c r="F22" s="61"/>
      <c r="G22" s="61"/>
      <c r="I22" s="61"/>
      <c r="J22" s="61"/>
      <c r="K22" s="61"/>
      <c r="L22" s="61"/>
      <c r="O22" s="61"/>
      <c r="Q22" s="61"/>
      <c r="R22" s="61"/>
      <c r="S22" s="61"/>
      <c r="T22" s="61"/>
    </row>
    <row r="23" spans="1:22" x14ac:dyDescent="0.25">
      <c r="B23" s="61"/>
      <c r="C23" s="61"/>
      <c r="E23" s="61"/>
      <c r="F23" s="61"/>
      <c r="G23" s="61"/>
      <c r="I23" s="61"/>
      <c r="J23" s="61"/>
      <c r="K23" s="61"/>
      <c r="L23" s="61"/>
      <c r="O23" s="61"/>
      <c r="Q23" s="61"/>
      <c r="R23" s="61"/>
      <c r="S23" s="61"/>
      <c r="T23" s="61"/>
    </row>
    <row r="24" spans="1:22" x14ac:dyDescent="0.25">
      <c r="B24" s="61"/>
      <c r="C24" s="61"/>
      <c r="E24" s="61"/>
      <c r="F24" s="61"/>
      <c r="G24" s="61"/>
      <c r="I24" s="61"/>
      <c r="J24" s="61"/>
      <c r="K24" s="61"/>
      <c r="L24" s="61"/>
      <c r="O24" s="61"/>
      <c r="Q24" s="61"/>
      <c r="R24" s="61"/>
      <c r="S24" s="61"/>
      <c r="T24" s="61"/>
    </row>
    <row r="25" spans="1:22" x14ac:dyDescent="0.25">
      <c r="B25" s="61"/>
      <c r="C25" s="61"/>
      <c r="E25" s="61"/>
      <c r="F25" s="61"/>
      <c r="G25" s="61"/>
      <c r="I25" s="61"/>
      <c r="J25" s="61"/>
      <c r="K25" s="61"/>
      <c r="L25" s="61"/>
      <c r="O25" s="61"/>
      <c r="Q25" s="61"/>
      <c r="R25" s="61"/>
      <c r="S25" s="61"/>
      <c r="T25" s="61"/>
    </row>
    <row r="26" spans="1:22" x14ac:dyDescent="0.25">
      <c r="B26" s="61"/>
      <c r="C26" s="61"/>
      <c r="E26" s="61"/>
      <c r="F26" s="61"/>
      <c r="G26" s="61"/>
      <c r="I26" s="61"/>
      <c r="J26" s="61"/>
      <c r="K26" s="61"/>
      <c r="L26" s="61"/>
      <c r="O26" s="61"/>
      <c r="Q26" s="61"/>
      <c r="R26" s="61"/>
      <c r="S26" s="61"/>
      <c r="T26" s="61"/>
    </row>
    <row r="27" spans="1:22" x14ac:dyDescent="0.25">
      <c r="B27" s="61"/>
      <c r="C27" s="61"/>
      <c r="E27" s="61"/>
      <c r="F27" s="61"/>
      <c r="G27" s="61"/>
      <c r="I27" s="61"/>
      <c r="J27" s="61"/>
      <c r="K27" s="61"/>
      <c r="L27" s="61"/>
      <c r="O27" s="61"/>
      <c r="Q27" s="61"/>
      <c r="R27" s="61"/>
      <c r="S27" s="61"/>
      <c r="T27" s="61"/>
    </row>
    <row r="28" spans="1:22" x14ac:dyDescent="0.25">
      <c r="B28" s="61"/>
      <c r="C28" s="61"/>
      <c r="E28" s="61"/>
      <c r="F28" s="61"/>
      <c r="G28" s="61"/>
      <c r="I28" s="61"/>
      <c r="J28" s="61"/>
      <c r="K28" s="61"/>
      <c r="L28" s="61"/>
      <c r="O28" s="61"/>
      <c r="Q28" s="61"/>
      <c r="R28" s="61"/>
      <c r="S28" s="61"/>
      <c r="T28" s="61"/>
    </row>
    <row r="29" spans="1:22" x14ac:dyDescent="0.25">
      <c r="B29" s="61"/>
      <c r="C29" s="61"/>
      <c r="E29" s="61"/>
      <c r="F29" s="61"/>
      <c r="G29" s="61"/>
      <c r="I29" s="61"/>
      <c r="J29" s="61"/>
      <c r="K29" s="61"/>
      <c r="L29" s="61"/>
      <c r="O29" s="61"/>
      <c r="Q29" s="61"/>
      <c r="R29" s="61"/>
      <c r="S29" s="61"/>
      <c r="T29" s="61"/>
    </row>
    <row r="30" spans="1:22" x14ac:dyDescent="0.25">
      <c r="B30" s="61"/>
      <c r="C30" s="61"/>
      <c r="E30" s="61"/>
      <c r="F30" s="61"/>
      <c r="G30" s="61"/>
      <c r="I30" s="61"/>
      <c r="J30" s="61"/>
      <c r="K30" s="61"/>
      <c r="L30" s="61"/>
      <c r="O30" s="61"/>
      <c r="Q30" s="61"/>
      <c r="R30" s="61"/>
      <c r="S30" s="61"/>
      <c r="T30" s="61"/>
    </row>
    <row r="31" spans="1:22" x14ac:dyDescent="0.25">
      <c r="B31" s="61"/>
      <c r="C31" s="61"/>
      <c r="E31" s="61"/>
      <c r="F31" s="61"/>
      <c r="G31" s="61"/>
      <c r="I31" s="61"/>
      <c r="J31" s="61"/>
      <c r="K31" s="61"/>
      <c r="L31" s="61"/>
      <c r="O31" s="61"/>
      <c r="Q31" s="61"/>
      <c r="R31" s="61"/>
      <c r="S31" s="61"/>
      <c r="T31" s="61"/>
    </row>
    <row r="32" spans="1:22" x14ac:dyDescent="0.25">
      <c r="B32" s="61"/>
      <c r="C32" s="61"/>
      <c r="E32" s="61"/>
      <c r="F32" s="61"/>
      <c r="G32" s="61"/>
      <c r="I32" s="61"/>
      <c r="J32" s="61"/>
      <c r="K32" s="61"/>
      <c r="L32" s="61"/>
      <c r="O32" s="61"/>
      <c r="Q32" s="61"/>
      <c r="R32" s="61"/>
      <c r="S32" s="61"/>
      <c r="T32" s="61"/>
    </row>
    <row r="33" spans="2:20" x14ac:dyDescent="0.25">
      <c r="B33" s="61"/>
      <c r="C33" s="61"/>
      <c r="E33" s="61"/>
      <c r="F33" s="61"/>
      <c r="G33" s="61"/>
      <c r="I33" s="61"/>
      <c r="J33" s="61"/>
      <c r="K33" s="61"/>
      <c r="L33" s="61"/>
      <c r="O33" s="61"/>
      <c r="Q33" s="61"/>
      <c r="R33" s="61"/>
      <c r="S33" s="61"/>
      <c r="T33" s="61"/>
    </row>
    <row r="34" spans="2:20" x14ac:dyDescent="0.25">
      <c r="B34" s="61"/>
      <c r="C34" s="61"/>
      <c r="E34" s="61"/>
      <c r="F34" s="61"/>
      <c r="G34" s="61"/>
      <c r="I34" s="61"/>
      <c r="J34" s="61"/>
      <c r="K34" s="61"/>
      <c r="L34" s="61"/>
      <c r="O34" s="61"/>
      <c r="Q34" s="61"/>
      <c r="R34" s="61"/>
      <c r="S34" s="61"/>
      <c r="T34" s="61"/>
    </row>
    <row r="35" spans="2:20" x14ac:dyDescent="0.25">
      <c r="B35" s="61"/>
      <c r="C35" s="61"/>
      <c r="E35" s="61"/>
      <c r="F35" s="61"/>
      <c r="G35" s="61"/>
      <c r="I35" s="61"/>
      <c r="J35" s="61"/>
      <c r="K35" s="61"/>
      <c r="L35" s="61"/>
      <c r="O35" s="61"/>
      <c r="Q35" s="61"/>
      <c r="R35" s="61"/>
      <c r="S35" s="61"/>
      <c r="T35" s="61"/>
    </row>
    <row r="36" spans="2:20" x14ac:dyDescent="0.25">
      <c r="B36" s="61"/>
      <c r="C36" s="61"/>
      <c r="E36" s="61"/>
      <c r="F36" s="61"/>
      <c r="G36" s="61"/>
      <c r="I36" s="61"/>
      <c r="J36" s="61"/>
      <c r="K36" s="61"/>
      <c r="L36" s="61"/>
      <c r="O36" s="61"/>
      <c r="Q36" s="61"/>
      <c r="R36" s="61"/>
      <c r="S36" s="61"/>
      <c r="T36" s="61"/>
    </row>
    <row r="37" spans="2:20" x14ac:dyDescent="0.25">
      <c r="B37" s="61"/>
      <c r="C37" s="61"/>
      <c r="E37" s="61"/>
      <c r="F37" s="61"/>
      <c r="G37" s="61"/>
      <c r="I37" s="61"/>
      <c r="J37" s="61"/>
      <c r="K37" s="61"/>
      <c r="L37" s="61"/>
      <c r="O37" s="61"/>
      <c r="Q37" s="61"/>
      <c r="R37" s="61"/>
      <c r="S37" s="61"/>
      <c r="T37" s="61"/>
    </row>
    <row r="38" spans="2:20" x14ac:dyDescent="0.25">
      <c r="B38" s="61"/>
      <c r="C38" s="61"/>
      <c r="E38" s="61"/>
      <c r="F38" s="61"/>
      <c r="G38" s="61"/>
      <c r="I38" s="61"/>
      <c r="J38" s="61"/>
      <c r="K38" s="61"/>
      <c r="L38" s="61"/>
      <c r="O38" s="61"/>
      <c r="Q38" s="61"/>
      <c r="R38" s="61"/>
      <c r="S38" s="61"/>
      <c r="T38" s="61"/>
    </row>
    <row r="39" spans="2:20" x14ac:dyDescent="0.25">
      <c r="B39" s="61"/>
      <c r="C39" s="61"/>
      <c r="E39" s="61"/>
      <c r="F39" s="61"/>
      <c r="G39" s="61"/>
      <c r="I39" s="61"/>
      <c r="J39" s="61"/>
      <c r="K39" s="61"/>
      <c r="L39" s="61"/>
      <c r="O39" s="61"/>
      <c r="Q39" s="61"/>
      <c r="R39" s="61"/>
      <c r="S39" s="61"/>
      <c r="T39" s="61"/>
    </row>
    <row r="40" spans="2:20" x14ac:dyDescent="0.25">
      <c r="B40" s="61"/>
      <c r="C40" s="61"/>
      <c r="E40" s="61"/>
      <c r="F40" s="61"/>
      <c r="G40" s="61"/>
      <c r="I40" s="61"/>
      <c r="J40" s="61"/>
      <c r="K40" s="61"/>
      <c r="L40" s="61"/>
      <c r="O40" s="61"/>
      <c r="Q40" s="61"/>
      <c r="R40" s="61"/>
      <c r="S40" s="61"/>
      <c r="T40" s="61"/>
    </row>
    <row r="41" spans="2:20" x14ac:dyDescent="0.25">
      <c r="B41" s="61"/>
      <c r="C41" s="61"/>
      <c r="E41" s="61"/>
      <c r="F41" s="61"/>
      <c r="G41" s="61"/>
      <c r="I41" s="61"/>
      <c r="J41" s="61"/>
      <c r="K41" s="61"/>
      <c r="L41" s="61"/>
      <c r="O41" s="61"/>
      <c r="Q41" s="61"/>
      <c r="R41" s="61"/>
      <c r="S41" s="61"/>
      <c r="T41" s="61"/>
    </row>
    <row r="42" spans="2:20" x14ac:dyDescent="0.25">
      <c r="B42" s="61"/>
      <c r="C42" s="61"/>
      <c r="E42" s="61"/>
      <c r="F42" s="61"/>
      <c r="G42" s="61"/>
      <c r="I42" s="61"/>
      <c r="J42" s="61"/>
      <c r="K42" s="61"/>
      <c r="L42" s="61"/>
      <c r="O42" s="61"/>
      <c r="Q42" s="61"/>
      <c r="R42" s="61"/>
      <c r="S42" s="61"/>
      <c r="T42" s="61"/>
    </row>
    <row r="43" spans="2:20" x14ac:dyDescent="0.25">
      <c r="B43" s="61"/>
      <c r="C43" s="61"/>
      <c r="E43" s="61"/>
      <c r="F43" s="61"/>
      <c r="G43" s="61"/>
      <c r="I43" s="61"/>
      <c r="J43" s="61"/>
      <c r="K43" s="61"/>
      <c r="L43" s="61"/>
      <c r="O43" s="61"/>
      <c r="Q43" s="61"/>
      <c r="R43" s="61"/>
      <c r="S43" s="61"/>
      <c r="T43" s="61"/>
    </row>
    <row r="44" spans="2:20" x14ac:dyDescent="0.25">
      <c r="B44" s="61"/>
      <c r="C44" s="61"/>
      <c r="E44" s="61"/>
      <c r="F44" s="61"/>
      <c r="G44" s="61"/>
      <c r="I44" s="61"/>
      <c r="J44" s="61"/>
      <c r="K44" s="61"/>
      <c r="L44" s="61"/>
      <c r="O44" s="61"/>
      <c r="Q44" s="61"/>
      <c r="R44" s="61"/>
      <c r="S44" s="61"/>
      <c r="T44" s="61"/>
    </row>
    <row r="45" spans="2:20" x14ac:dyDescent="0.25">
      <c r="B45" s="61"/>
      <c r="C45" s="61"/>
      <c r="E45" s="61"/>
      <c r="F45" s="61"/>
      <c r="G45" s="61"/>
      <c r="I45" s="61"/>
      <c r="J45" s="61"/>
      <c r="K45" s="61"/>
      <c r="L45" s="61"/>
      <c r="O45" s="61"/>
      <c r="Q45" s="61"/>
      <c r="R45" s="61"/>
      <c r="S45" s="61"/>
      <c r="T45" s="61"/>
    </row>
    <row r="46" spans="2:20" x14ac:dyDescent="0.25">
      <c r="B46" s="61"/>
      <c r="C46" s="61"/>
      <c r="E46" s="61"/>
      <c r="F46" s="61"/>
      <c r="G46" s="61"/>
      <c r="I46" s="61"/>
      <c r="J46" s="61"/>
      <c r="K46" s="61"/>
      <c r="L46" s="61"/>
      <c r="O46" s="61"/>
      <c r="Q46" s="61"/>
      <c r="R46" s="61"/>
      <c r="S46" s="61"/>
      <c r="T46" s="61"/>
    </row>
    <row r="47" spans="2:20" x14ac:dyDescent="0.25">
      <c r="B47" s="61"/>
      <c r="C47" s="61"/>
      <c r="E47" s="61"/>
      <c r="F47" s="61"/>
      <c r="G47" s="61"/>
      <c r="I47" s="61"/>
      <c r="J47" s="61"/>
      <c r="K47" s="61"/>
      <c r="L47" s="61"/>
      <c r="O47" s="61"/>
      <c r="Q47" s="61"/>
      <c r="R47" s="61"/>
      <c r="S47" s="61"/>
      <c r="T47" s="61"/>
    </row>
    <row r="48" spans="2:20" x14ac:dyDescent="0.25">
      <c r="B48" s="61"/>
      <c r="C48" s="61"/>
      <c r="E48" s="61"/>
      <c r="F48" s="61"/>
      <c r="G48" s="61"/>
      <c r="I48" s="61"/>
      <c r="J48" s="61"/>
      <c r="K48" s="61"/>
      <c r="L48" s="61"/>
      <c r="O48" s="61"/>
      <c r="Q48" s="61"/>
      <c r="R48" s="61"/>
      <c r="S48" s="61"/>
      <c r="T48" s="61"/>
    </row>
    <row r="49" spans="2:20" x14ac:dyDescent="0.25">
      <c r="B49" s="61"/>
      <c r="C49" s="61"/>
      <c r="E49" s="61"/>
      <c r="F49" s="61"/>
      <c r="G49" s="61"/>
      <c r="I49" s="61"/>
      <c r="J49" s="61"/>
      <c r="K49" s="61"/>
      <c r="L49" s="61"/>
      <c r="O49" s="61"/>
      <c r="Q49" s="61"/>
      <c r="R49" s="61"/>
      <c r="S49" s="61"/>
      <c r="T49" s="61"/>
    </row>
    <row r="50" spans="2:20" x14ac:dyDescent="0.25">
      <c r="B50" s="61"/>
      <c r="C50" s="61"/>
      <c r="E50" s="61"/>
      <c r="F50" s="61"/>
      <c r="G50" s="61"/>
      <c r="I50" s="61"/>
      <c r="J50" s="61"/>
      <c r="K50" s="61"/>
      <c r="L50" s="61"/>
      <c r="O50" s="61"/>
      <c r="Q50" s="61"/>
      <c r="R50" s="61"/>
      <c r="S50" s="61"/>
      <c r="T50" s="61"/>
    </row>
    <row r="51" spans="2:20" x14ac:dyDescent="0.25">
      <c r="B51" s="61"/>
      <c r="C51" s="61"/>
      <c r="E51" s="61"/>
      <c r="F51" s="61"/>
      <c r="G51" s="61"/>
      <c r="I51" s="61"/>
      <c r="J51" s="61"/>
      <c r="K51" s="61"/>
      <c r="L51" s="61"/>
      <c r="O51" s="61"/>
      <c r="Q51" s="61"/>
      <c r="R51" s="61"/>
      <c r="S51" s="61"/>
      <c r="T51" s="61"/>
    </row>
    <row r="52" spans="2:20" x14ac:dyDescent="0.25">
      <c r="B52" s="61"/>
      <c r="C52" s="61"/>
      <c r="E52" s="61"/>
      <c r="F52" s="61"/>
      <c r="G52" s="61"/>
      <c r="I52" s="61"/>
      <c r="J52" s="61"/>
      <c r="K52" s="61"/>
      <c r="L52" s="61"/>
      <c r="O52" s="61"/>
      <c r="Q52" s="61"/>
      <c r="R52" s="61"/>
      <c r="S52" s="61"/>
      <c r="T52" s="61"/>
    </row>
    <row r="53" spans="2:20" x14ac:dyDescent="0.25">
      <c r="B53" s="61"/>
      <c r="C53" s="61"/>
      <c r="E53" s="61"/>
      <c r="F53" s="61"/>
      <c r="G53" s="61"/>
      <c r="I53" s="61"/>
      <c r="J53" s="61"/>
      <c r="K53" s="61"/>
      <c r="L53" s="61"/>
      <c r="O53" s="61"/>
      <c r="Q53" s="61"/>
      <c r="R53" s="61"/>
      <c r="S53" s="61"/>
      <c r="T53" s="61"/>
    </row>
    <row r="54" spans="2:20" x14ac:dyDescent="0.25">
      <c r="B54" s="61"/>
      <c r="C54" s="61"/>
      <c r="E54" s="61"/>
      <c r="F54" s="61"/>
      <c r="G54" s="61"/>
      <c r="I54" s="61"/>
      <c r="J54" s="61"/>
      <c r="K54" s="61"/>
      <c r="L54" s="61"/>
      <c r="O54" s="61"/>
      <c r="Q54" s="61"/>
      <c r="R54" s="61"/>
      <c r="S54" s="61"/>
      <c r="T54" s="61"/>
    </row>
    <row r="55" spans="2:20" x14ac:dyDescent="0.25">
      <c r="B55" s="61"/>
      <c r="C55" s="61"/>
      <c r="E55" s="61"/>
      <c r="F55" s="61"/>
      <c r="G55" s="61"/>
      <c r="I55" s="61"/>
      <c r="J55" s="61"/>
      <c r="K55" s="61"/>
      <c r="L55" s="61"/>
      <c r="O55" s="61"/>
      <c r="Q55" s="61"/>
      <c r="R55" s="61"/>
      <c r="S55" s="61"/>
      <c r="T55" s="61"/>
    </row>
    <row r="56" spans="2:20" x14ac:dyDescent="0.25">
      <c r="B56" s="61"/>
      <c r="C56" s="61"/>
      <c r="E56" s="61"/>
      <c r="F56" s="61"/>
      <c r="G56" s="61"/>
      <c r="I56" s="61"/>
      <c r="J56" s="61"/>
      <c r="K56" s="61"/>
      <c r="L56" s="61"/>
      <c r="O56" s="61"/>
      <c r="Q56" s="61"/>
      <c r="R56" s="61"/>
      <c r="S56" s="61"/>
      <c r="T56" s="61"/>
    </row>
    <row r="57" spans="2:20" x14ac:dyDescent="0.25">
      <c r="B57" s="61"/>
      <c r="C57" s="61"/>
      <c r="E57" s="61"/>
      <c r="F57" s="61"/>
      <c r="G57" s="61"/>
      <c r="I57" s="61"/>
      <c r="J57" s="61"/>
      <c r="K57" s="61"/>
      <c r="L57" s="61"/>
      <c r="O57" s="61"/>
      <c r="Q57" s="61"/>
      <c r="R57" s="61"/>
      <c r="S57" s="61"/>
      <c r="T57" s="61"/>
    </row>
    <row r="58" spans="2:20" x14ac:dyDescent="0.25">
      <c r="B58" s="61"/>
      <c r="C58" s="61"/>
      <c r="E58" s="61"/>
      <c r="F58" s="61"/>
      <c r="G58" s="61"/>
      <c r="I58" s="61"/>
      <c r="J58" s="61"/>
      <c r="K58" s="61"/>
      <c r="L58" s="61"/>
      <c r="O58" s="61"/>
      <c r="Q58" s="61"/>
      <c r="R58" s="61"/>
      <c r="S58" s="61"/>
      <c r="T58" s="61"/>
    </row>
    <row r="59" spans="2:20" x14ac:dyDescent="0.25">
      <c r="B59" s="61"/>
      <c r="C59" s="61"/>
      <c r="E59" s="61"/>
      <c r="F59" s="61"/>
      <c r="G59" s="61"/>
      <c r="I59" s="61"/>
      <c r="J59" s="61"/>
      <c r="K59" s="61"/>
      <c r="L59" s="61"/>
      <c r="O59" s="61"/>
      <c r="Q59" s="61"/>
      <c r="R59" s="61"/>
      <c r="S59" s="61"/>
      <c r="T59" s="61"/>
    </row>
    <row r="60" spans="2:20" x14ac:dyDescent="0.25">
      <c r="B60" s="61"/>
      <c r="C60" s="61"/>
      <c r="E60" s="61"/>
      <c r="F60" s="61"/>
      <c r="G60" s="61"/>
      <c r="I60" s="61"/>
      <c r="J60" s="61"/>
      <c r="K60" s="61"/>
      <c r="L60" s="61"/>
      <c r="O60" s="61"/>
      <c r="Q60" s="61"/>
      <c r="R60" s="61"/>
      <c r="S60" s="61"/>
      <c r="T60" s="61"/>
    </row>
    <row r="61" spans="2:20" x14ac:dyDescent="0.25">
      <c r="B61" s="61"/>
      <c r="C61" s="61"/>
      <c r="E61" s="61"/>
      <c r="F61" s="61"/>
      <c r="G61" s="61"/>
      <c r="I61" s="61"/>
      <c r="J61" s="61"/>
      <c r="K61" s="61"/>
      <c r="L61" s="61"/>
      <c r="O61" s="61"/>
      <c r="Q61" s="61"/>
      <c r="R61" s="61"/>
      <c r="S61" s="61"/>
      <c r="T61" s="61"/>
    </row>
    <row r="62" spans="2:20" x14ac:dyDescent="0.25">
      <c r="B62" s="61"/>
      <c r="C62" s="61"/>
      <c r="E62" s="61"/>
      <c r="F62" s="61"/>
      <c r="G62" s="61"/>
      <c r="I62" s="61"/>
      <c r="J62" s="61"/>
      <c r="K62" s="61"/>
      <c r="L62" s="61"/>
      <c r="O62" s="61"/>
      <c r="Q62" s="61"/>
      <c r="R62" s="61"/>
      <c r="S62" s="61"/>
      <c r="T62" s="61"/>
    </row>
    <row r="63" spans="2:20" x14ac:dyDescent="0.25">
      <c r="B63" s="61"/>
      <c r="C63" s="61"/>
      <c r="E63" s="61"/>
      <c r="F63" s="61"/>
      <c r="G63" s="61"/>
      <c r="I63" s="61"/>
      <c r="J63" s="61"/>
      <c r="K63" s="61"/>
      <c r="L63" s="61"/>
      <c r="O63" s="61"/>
      <c r="Q63" s="61"/>
      <c r="R63" s="61"/>
      <c r="S63" s="61"/>
      <c r="T63" s="61"/>
    </row>
    <row r="64" spans="2:20" x14ac:dyDescent="0.25">
      <c r="B64" s="61"/>
      <c r="C64" s="61"/>
      <c r="E64" s="61"/>
      <c r="F64" s="61"/>
      <c r="G64" s="61"/>
      <c r="I64" s="61"/>
      <c r="J64" s="61"/>
      <c r="K64" s="61"/>
      <c r="L64" s="61"/>
      <c r="O64" s="61"/>
      <c r="Q64" s="61"/>
      <c r="R64" s="61"/>
      <c r="S64" s="61"/>
      <c r="T64" s="61"/>
    </row>
    <row r="65" spans="2:20" x14ac:dyDescent="0.25">
      <c r="B65" s="61"/>
      <c r="C65" s="61"/>
      <c r="E65" s="61"/>
      <c r="F65" s="61"/>
      <c r="G65" s="61"/>
      <c r="I65" s="61"/>
      <c r="J65" s="61"/>
      <c r="K65" s="61"/>
      <c r="L65" s="61"/>
      <c r="O65" s="61"/>
      <c r="Q65" s="61"/>
      <c r="R65" s="61"/>
      <c r="S65" s="61"/>
      <c r="T65" s="61"/>
    </row>
    <row r="66" spans="2:20" x14ac:dyDescent="0.25">
      <c r="B66" s="61"/>
      <c r="C66" s="61"/>
      <c r="E66" s="61"/>
      <c r="F66" s="61"/>
      <c r="G66" s="61"/>
      <c r="I66" s="61"/>
      <c r="J66" s="61"/>
      <c r="K66" s="61"/>
      <c r="L66" s="61"/>
      <c r="O66" s="61"/>
      <c r="Q66" s="61"/>
      <c r="R66" s="61"/>
      <c r="S66" s="61"/>
      <c r="T66" s="61"/>
    </row>
    <row r="67" spans="2:20" x14ac:dyDescent="0.25">
      <c r="B67" s="61"/>
      <c r="C67" s="61"/>
      <c r="E67" s="61"/>
      <c r="F67" s="61"/>
      <c r="G67" s="61"/>
      <c r="I67" s="61"/>
      <c r="J67" s="61"/>
      <c r="K67" s="61"/>
      <c r="L67" s="61"/>
      <c r="O67" s="61"/>
      <c r="Q67" s="61"/>
      <c r="R67" s="61"/>
      <c r="S67" s="61"/>
      <c r="T67" s="61"/>
    </row>
    <row r="68" spans="2:20" x14ac:dyDescent="0.25">
      <c r="B68" s="61"/>
      <c r="C68" s="61"/>
      <c r="E68" s="61"/>
      <c r="F68" s="61"/>
      <c r="G68" s="61"/>
      <c r="I68" s="61"/>
      <c r="J68" s="61"/>
      <c r="K68" s="61"/>
      <c r="L68" s="61"/>
      <c r="O68" s="61"/>
      <c r="Q68" s="61"/>
      <c r="R68" s="61"/>
      <c r="S68" s="61"/>
      <c r="T68" s="61"/>
    </row>
    <row r="69" spans="2:20" x14ac:dyDescent="0.25">
      <c r="B69" s="61"/>
      <c r="C69" s="61"/>
      <c r="E69" s="61"/>
      <c r="F69" s="61"/>
      <c r="G69" s="61"/>
      <c r="I69" s="61"/>
      <c r="J69" s="61"/>
      <c r="K69" s="61"/>
      <c r="L69" s="61"/>
      <c r="O69" s="61"/>
      <c r="Q69" s="61"/>
      <c r="R69" s="61"/>
      <c r="S69" s="61"/>
      <c r="T69" s="61"/>
    </row>
    <row r="70" spans="2:20" x14ac:dyDescent="0.25">
      <c r="B70" s="61"/>
      <c r="C70" s="61"/>
      <c r="E70" s="61"/>
      <c r="F70" s="61"/>
      <c r="G70" s="61"/>
      <c r="I70" s="61"/>
      <c r="J70" s="61"/>
      <c r="K70" s="61"/>
      <c r="L70" s="61"/>
      <c r="O70" s="61"/>
      <c r="Q70" s="61"/>
      <c r="R70" s="61"/>
      <c r="S70" s="61"/>
      <c r="T70" s="61"/>
    </row>
    <row r="71" spans="2:20" x14ac:dyDescent="0.25">
      <c r="B71" s="61"/>
      <c r="C71" s="61"/>
      <c r="E71" s="61"/>
      <c r="F71" s="61"/>
      <c r="G71" s="61"/>
      <c r="I71" s="61"/>
      <c r="J71" s="61"/>
      <c r="K71" s="61"/>
      <c r="L71" s="61"/>
      <c r="O71" s="61"/>
      <c r="Q71" s="61"/>
      <c r="R71" s="61"/>
      <c r="S71" s="61"/>
      <c r="T71" s="61"/>
    </row>
    <row r="72" spans="2:20" x14ac:dyDescent="0.25">
      <c r="B72" s="61"/>
      <c r="C72" s="61"/>
      <c r="E72" s="61"/>
      <c r="F72" s="61"/>
      <c r="G72" s="61"/>
      <c r="I72" s="61"/>
      <c r="J72" s="61"/>
      <c r="K72" s="61"/>
      <c r="L72" s="61"/>
      <c r="O72" s="61"/>
      <c r="Q72" s="61"/>
      <c r="R72" s="61"/>
      <c r="S72" s="61"/>
      <c r="T72" s="61"/>
    </row>
    <row r="73" spans="2:20" x14ac:dyDescent="0.25">
      <c r="B73" s="61"/>
      <c r="C73" s="61"/>
      <c r="E73" s="61"/>
      <c r="F73" s="61"/>
      <c r="G73" s="61"/>
      <c r="I73" s="61"/>
      <c r="J73" s="61"/>
      <c r="K73" s="61"/>
      <c r="L73" s="61"/>
      <c r="O73" s="61"/>
      <c r="Q73" s="61"/>
      <c r="R73" s="61"/>
      <c r="S73" s="61"/>
      <c r="T73" s="61"/>
    </row>
    <row r="74" spans="2:20" x14ac:dyDescent="0.25">
      <c r="B74" s="61"/>
      <c r="C74" s="61"/>
      <c r="E74" s="61"/>
      <c r="F74" s="61"/>
      <c r="G74" s="61"/>
      <c r="O74" s="61"/>
    </row>
    <row r="75" spans="2:20" x14ac:dyDescent="0.25">
      <c r="B75" s="61"/>
      <c r="C75" s="61"/>
      <c r="E75" s="61"/>
      <c r="F75" s="61"/>
      <c r="G75" s="61"/>
      <c r="O75" s="61"/>
    </row>
    <row r="76" spans="2:20" x14ac:dyDescent="0.25">
      <c r="B76" s="61"/>
      <c r="C76" s="61"/>
      <c r="E76" s="61"/>
      <c r="F76" s="61"/>
      <c r="G76" s="61"/>
      <c r="I76" s="61"/>
      <c r="J76" s="61"/>
      <c r="K76" s="61"/>
      <c r="L76" s="61"/>
      <c r="O76" s="61"/>
      <c r="Q76" s="61"/>
      <c r="R76" s="61"/>
      <c r="S76" s="61"/>
      <c r="T76" s="61"/>
    </row>
    <row r="77" spans="2:20" x14ac:dyDescent="0.25">
      <c r="B77" s="61"/>
      <c r="C77" s="61"/>
      <c r="E77" s="61"/>
      <c r="F77" s="61"/>
      <c r="G77" s="61"/>
      <c r="I77" s="61"/>
      <c r="J77" s="61"/>
      <c r="K77" s="61"/>
      <c r="L77" s="61"/>
      <c r="O77" s="61"/>
      <c r="Q77" s="61"/>
      <c r="R77" s="61"/>
      <c r="S77" s="61"/>
      <c r="T77" s="61"/>
    </row>
    <row r="78" spans="2:20" x14ac:dyDescent="0.25">
      <c r="I78" s="61"/>
      <c r="J78" s="61"/>
      <c r="K78" s="61"/>
      <c r="L78" s="61"/>
      <c r="Q78" s="61"/>
      <c r="R78" s="61"/>
      <c r="S78" s="61"/>
      <c r="T78" s="61"/>
    </row>
    <row r="79" spans="2:20" x14ac:dyDescent="0.25">
      <c r="I79" s="61"/>
      <c r="J79" s="61"/>
      <c r="K79" s="61"/>
      <c r="L79" s="61"/>
      <c r="Q79" s="61"/>
      <c r="R79" s="61"/>
      <c r="S79" s="61"/>
      <c r="T79" s="61"/>
    </row>
    <row r="80" spans="2:20" x14ac:dyDescent="0.25">
      <c r="B80" s="61"/>
      <c r="C80" s="61"/>
      <c r="E80" s="61"/>
      <c r="F80" s="61"/>
      <c r="G80" s="61"/>
      <c r="I80" s="61"/>
      <c r="J80" s="61"/>
      <c r="K80" s="61"/>
      <c r="L80" s="61"/>
      <c r="O80" s="61"/>
      <c r="Q80" s="61"/>
      <c r="R80" s="61"/>
      <c r="S80" s="61"/>
      <c r="T80" s="61"/>
    </row>
    <row r="81" spans="2:20" x14ac:dyDescent="0.25">
      <c r="B81" s="61"/>
      <c r="C81" s="61"/>
      <c r="E81" s="61"/>
      <c r="F81" s="61"/>
      <c r="G81" s="61"/>
      <c r="I81" s="61"/>
      <c r="J81" s="61"/>
      <c r="K81" s="61"/>
      <c r="L81" s="61"/>
      <c r="O81" s="61"/>
      <c r="Q81" s="61"/>
      <c r="R81" s="61"/>
      <c r="S81" s="61"/>
      <c r="T81" s="61"/>
    </row>
    <row r="82" spans="2:20" x14ac:dyDescent="0.25">
      <c r="B82" s="61"/>
      <c r="C82" s="61"/>
      <c r="E82" s="61"/>
      <c r="F82" s="61"/>
      <c r="G82" s="61"/>
      <c r="I82" s="61"/>
      <c r="J82" s="61"/>
      <c r="K82" s="61"/>
      <c r="L82" s="61"/>
      <c r="O82" s="61"/>
      <c r="Q82" s="61"/>
      <c r="R82" s="61"/>
      <c r="S82" s="61"/>
      <c r="T82" s="61"/>
    </row>
    <row r="83" spans="2:20" x14ac:dyDescent="0.25">
      <c r="B83" s="61"/>
      <c r="C83" s="61"/>
      <c r="E83" s="61"/>
      <c r="F83" s="61"/>
      <c r="G83" s="61"/>
      <c r="I83" s="61"/>
      <c r="J83" s="61"/>
      <c r="K83" s="61"/>
      <c r="L83" s="61"/>
      <c r="O83" s="61"/>
      <c r="Q83" s="61"/>
      <c r="R83" s="61"/>
      <c r="S83" s="61"/>
      <c r="T83" s="61"/>
    </row>
    <row r="84" spans="2:20" x14ac:dyDescent="0.25">
      <c r="B84" s="61"/>
      <c r="C84" s="61"/>
      <c r="E84" s="61"/>
      <c r="F84" s="61"/>
      <c r="G84" s="61"/>
      <c r="I84" s="61"/>
      <c r="J84" s="61"/>
      <c r="K84" s="61"/>
      <c r="L84" s="61"/>
      <c r="O84" s="61"/>
      <c r="Q84" s="61"/>
      <c r="R84" s="61"/>
      <c r="S84" s="61"/>
      <c r="T84" s="61"/>
    </row>
    <row r="85" spans="2:20" x14ac:dyDescent="0.25">
      <c r="B85" s="61"/>
      <c r="C85" s="61"/>
      <c r="E85" s="61"/>
      <c r="F85" s="61"/>
      <c r="G85" s="61"/>
      <c r="I85" s="61"/>
      <c r="J85" s="61"/>
      <c r="K85" s="61"/>
      <c r="L85" s="61"/>
      <c r="O85" s="61"/>
      <c r="Q85" s="61"/>
      <c r="R85" s="61"/>
      <c r="S85" s="61"/>
      <c r="T85" s="61"/>
    </row>
    <row r="86" spans="2:20" x14ac:dyDescent="0.25">
      <c r="B86" s="61"/>
      <c r="C86" s="61"/>
      <c r="E86" s="61"/>
      <c r="F86" s="61"/>
      <c r="G86" s="61"/>
      <c r="I86" s="61"/>
      <c r="J86" s="61"/>
      <c r="K86" s="61"/>
      <c r="L86" s="61"/>
      <c r="O86" s="61"/>
      <c r="Q86" s="61"/>
      <c r="R86" s="61"/>
      <c r="S86" s="61"/>
      <c r="T86" s="61"/>
    </row>
    <row r="87" spans="2:20" x14ac:dyDescent="0.25">
      <c r="B87" s="61"/>
      <c r="C87" s="61"/>
      <c r="E87" s="61"/>
      <c r="F87" s="61"/>
      <c r="G87" s="61"/>
      <c r="I87" s="61"/>
      <c r="J87" s="61"/>
      <c r="K87" s="61"/>
      <c r="L87" s="61"/>
      <c r="O87" s="61"/>
      <c r="Q87" s="61"/>
      <c r="R87" s="61"/>
      <c r="S87" s="61"/>
      <c r="T87" s="61"/>
    </row>
    <row r="88" spans="2:20" x14ac:dyDescent="0.25">
      <c r="B88" s="61"/>
      <c r="C88" s="61"/>
      <c r="E88" s="61"/>
      <c r="F88" s="61"/>
      <c r="G88" s="61"/>
      <c r="I88" s="61"/>
      <c r="J88" s="61"/>
      <c r="K88" s="61"/>
      <c r="L88" s="61"/>
      <c r="O88" s="61"/>
      <c r="Q88" s="61"/>
      <c r="R88" s="61"/>
      <c r="S88" s="61"/>
      <c r="T88" s="61"/>
    </row>
    <row r="89" spans="2:20" x14ac:dyDescent="0.25">
      <c r="B89" s="61"/>
      <c r="C89" s="61"/>
      <c r="E89" s="61"/>
      <c r="F89" s="61"/>
      <c r="G89" s="61"/>
      <c r="I89" s="61"/>
      <c r="J89" s="61"/>
      <c r="K89" s="61"/>
      <c r="L89" s="61"/>
      <c r="O89" s="61"/>
      <c r="Q89" s="61"/>
      <c r="R89" s="61"/>
      <c r="S89" s="61"/>
      <c r="T89" s="61"/>
    </row>
    <row r="90" spans="2:20" x14ac:dyDescent="0.25">
      <c r="B90" s="61"/>
      <c r="C90" s="61"/>
      <c r="E90" s="61"/>
      <c r="F90" s="61"/>
      <c r="G90" s="61"/>
      <c r="I90" s="61"/>
      <c r="J90" s="61"/>
      <c r="K90" s="61"/>
      <c r="L90" s="61"/>
      <c r="O90" s="61"/>
      <c r="Q90" s="61"/>
      <c r="R90" s="61"/>
      <c r="S90" s="61"/>
      <c r="T90" s="61"/>
    </row>
    <row r="91" spans="2:20" x14ac:dyDescent="0.25">
      <c r="B91" s="61"/>
      <c r="C91" s="61"/>
      <c r="E91" s="61"/>
      <c r="F91" s="61"/>
      <c r="G91" s="61"/>
      <c r="I91" s="61"/>
      <c r="J91" s="61"/>
      <c r="K91" s="61"/>
      <c r="L91" s="61"/>
      <c r="O91" s="61"/>
      <c r="Q91" s="61"/>
      <c r="R91" s="61"/>
      <c r="S91" s="61"/>
      <c r="T91" s="61"/>
    </row>
    <row r="92" spans="2:20" x14ac:dyDescent="0.25">
      <c r="B92" s="61"/>
      <c r="C92" s="61"/>
      <c r="E92" s="61"/>
      <c r="F92" s="61"/>
      <c r="G92" s="61"/>
      <c r="I92" s="61"/>
      <c r="J92" s="61"/>
      <c r="K92" s="61"/>
      <c r="L92" s="61"/>
      <c r="O92" s="61"/>
      <c r="Q92" s="61"/>
      <c r="R92" s="61"/>
      <c r="S92" s="61"/>
      <c r="T92" s="61"/>
    </row>
    <row r="93" spans="2:20" x14ac:dyDescent="0.25">
      <c r="B93" s="61"/>
      <c r="C93" s="61"/>
      <c r="E93" s="61"/>
      <c r="F93" s="61"/>
      <c r="G93" s="61"/>
      <c r="I93" s="61"/>
      <c r="J93" s="61"/>
      <c r="K93" s="61"/>
      <c r="L93" s="61"/>
      <c r="O93" s="61"/>
      <c r="Q93" s="61"/>
      <c r="R93" s="61"/>
      <c r="S93" s="61"/>
      <c r="T93" s="61"/>
    </row>
    <row r="94" spans="2:20" x14ac:dyDescent="0.25">
      <c r="B94" s="61"/>
      <c r="C94" s="61"/>
      <c r="E94" s="61"/>
      <c r="F94" s="61"/>
      <c r="G94" s="61"/>
      <c r="I94" s="61"/>
      <c r="J94" s="61"/>
      <c r="K94" s="61"/>
      <c r="L94" s="61"/>
      <c r="O94" s="61"/>
      <c r="Q94" s="61"/>
      <c r="R94" s="61"/>
      <c r="S94" s="61"/>
      <c r="T94" s="61"/>
    </row>
    <row r="95" spans="2:20" x14ac:dyDescent="0.25">
      <c r="B95" s="61"/>
      <c r="C95" s="61"/>
      <c r="E95" s="61"/>
      <c r="F95" s="61"/>
      <c r="G95" s="61"/>
      <c r="I95" s="61"/>
      <c r="J95" s="61"/>
      <c r="K95" s="61"/>
      <c r="L95" s="61"/>
      <c r="O95" s="61"/>
      <c r="Q95" s="61"/>
      <c r="R95" s="61"/>
      <c r="S95" s="61"/>
      <c r="T95" s="61"/>
    </row>
    <row r="96" spans="2:20" x14ac:dyDescent="0.25">
      <c r="B96" s="61"/>
      <c r="C96" s="61"/>
      <c r="E96" s="61"/>
      <c r="F96" s="61"/>
      <c r="G96" s="61"/>
      <c r="I96" s="61"/>
      <c r="J96" s="61"/>
      <c r="K96" s="61"/>
      <c r="L96" s="61"/>
      <c r="O96" s="61"/>
      <c r="Q96" s="61"/>
      <c r="R96" s="61"/>
      <c r="S96" s="61"/>
      <c r="T96" s="61"/>
    </row>
    <row r="97" spans="2:20" x14ac:dyDescent="0.25">
      <c r="B97" s="61"/>
      <c r="C97" s="61"/>
      <c r="E97" s="61"/>
      <c r="F97" s="61"/>
      <c r="G97" s="61"/>
      <c r="I97" s="61"/>
      <c r="J97" s="61"/>
      <c r="K97" s="61"/>
      <c r="L97" s="61"/>
      <c r="O97" s="61"/>
      <c r="Q97" s="61"/>
      <c r="R97" s="61"/>
      <c r="S97" s="61"/>
      <c r="T97" s="61"/>
    </row>
    <row r="98" spans="2:20" x14ac:dyDescent="0.25">
      <c r="B98" s="61"/>
      <c r="C98" s="61"/>
      <c r="E98" s="61"/>
      <c r="F98" s="61"/>
      <c r="G98" s="61"/>
      <c r="I98" s="61"/>
      <c r="J98" s="61"/>
      <c r="K98" s="61"/>
      <c r="L98" s="61"/>
      <c r="O98" s="61"/>
      <c r="Q98" s="61"/>
      <c r="R98" s="61"/>
      <c r="S98" s="61"/>
      <c r="T98" s="61"/>
    </row>
    <row r="99" spans="2:20" x14ac:dyDescent="0.25">
      <c r="B99" s="61"/>
      <c r="C99" s="61"/>
      <c r="E99" s="61"/>
      <c r="F99" s="61"/>
      <c r="G99" s="61"/>
      <c r="I99" s="61"/>
      <c r="J99" s="61"/>
      <c r="K99" s="61"/>
      <c r="L99" s="61"/>
      <c r="O99" s="61"/>
      <c r="Q99" s="61"/>
      <c r="R99" s="61"/>
      <c r="S99" s="61"/>
      <c r="T99" s="61"/>
    </row>
    <row r="100" spans="2:20" x14ac:dyDescent="0.25">
      <c r="B100" s="61"/>
      <c r="C100" s="61"/>
      <c r="E100" s="61"/>
      <c r="F100" s="61"/>
      <c r="G100" s="61"/>
      <c r="O100" s="61"/>
    </row>
    <row r="101" spans="2:20" x14ac:dyDescent="0.25">
      <c r="B101" s="61"/>
      <c r="C101" s="61"/>
      <c r="E101" s="61"/>
      <c r="F101" s="61"/>
      <c r="G101" s="61"/>
      <c r="O101" s="61"/>
    </row>
    <row r="102" spans="2:20" x14ac:dyDescent="0.25">
      <c r="B102" s="61"/>
      <c r="C102" s="61"/>
      <c r="E102" s="61"/>
      <c r="F102" s="61"/>
      <c r="G102" s="61"/>
      <c r="I102" s="61"/>
      <c r="J102" s="61"/>
      <c r="K102" s="61"/>
      <c r="L102" s="61"/>
      <c r="O102" s="61"/>
      <c r="Q102" s="61"/>
      <c r="R102" s="61"/>
      <c r="S102" s="61"/>
      <c r="T102" s="61"/>
    </row>
    <row r="103" spans="2:20" x14ac:dyDescent="0.25">
      <c r="B103" s="61"/>
      <c r="C103" s="61"/>
      <c r="E103" s="61"/>
      <c r="F103" s="61"/>
      <c r="G103" s="61"/>
      <c r="I103" s="61"/>
      <c r="J103" s="61"/>
      <c r="K103" s="61"/>
      <c r="L103" s="61"/>
      <c r="O103" s="61"/>
      <c r="Q103" s="61"/>
      <c r="R103" s="61"/>
      <c r="S103" s="61"/>
      <c r="T103" s="61"/>
    </row>
    <row r="104" spans="2:20" x14ac:dyDescent="0.25">
      <c r="I104" s="61"/>
      <c r="J104" s="61"/>
      <c r="K104" s="61"/>
      <c r="L104" s="61"/>
      <c r="Q104" s="61"/>
      <c r="R104" s="61"/>
      <c r="S104" s="61"/>
      <c r="T104" s="61"/>
    </row>
    <row r="105" spans="2:20" x14ac:dyDescent="0.25">
      <c r="I105" s="61"/>
      <c r="J105" s="61"/>
      <c r="K105" s="61"/>
      <c r="L105" s="61"/>
      <c r="Q105" s="61"/>
      <c r="R105" s="61"/>
      <c r="S105" s="61"/>
      <c r="T105" s="61"/>
    </row>
    <row r="106" spans="2:20" x14ac:dyDescent="0.25">
      <c r="B106" s="61"/>
      <c r="C106" s="61"/>
      <c r="E106" s="61"/>
      <c r="F106" s="61"/>
      <c r="G106" s="61"/>
      <c r="I106" s="61"/>
      <c r="J106" s="61"/>
      <c r="K106" s="61"/>
      <c r="L106" s="61"/>
      <c r="O106" s="61"/>
      <c r="Q106" s="61"/>
      <c r="R106" s="61"/>
      <c r="S106" s="61"/>
      <c r="T106" s="61"/>
    </row>
    <row r="107" spans="2:20" x14ac:dyDescent="0.25">
      <c r="B107" s="61"/>
      <c r="C107" s="61"/>
      <c r="E107" s="61"/>
      <c r="F107" s="61"/>
      <c r="G107" s="61"/>
      <c r="I107" s="61"/>
      <c r="J107" s="61"/>
      <c r="K107" s="61"/>
      <c r="L107" s="61"/>
      <c r="O107" s="61"/>
      <c r="Q107" s="61"/>
      <c r="R107" s="61"/>
      <c r="S107" s="61"/>
      <c r="T107" s="61"/>
    </row>
    <row r="108" spans="2:20" x14ac:dyDescent="0.25">
      <c r="B108" s="61"/>
      <c r="C108" s="61"/>
      <c r="E108" s="61"/>
      <c r="F108" s="61"/>
      <c r="G108" s="61"/>
      <c r="I108" s="61"/>
      <c r="J108" s="61"/>
      <c r="K108" s="61"/>
      <c r="L108" s="61"/>
      <c r="O108" s="61"/>
      <c r="Q108" s="61"/>
      <c r="R108" s="61"/>
      <c r="S108" s="61"/>
      <c r="T108" s="61"/>
    </row>
    <row r="109" spans="2:20" x14ac:dyDescent="0.25">
      <c r="B109" s="61"/>
      <c r="C109" s="61"/>
      <c r="E109" s="61"/>
      <c r="F109" s="61"/>
      <c r="G109" s="61"/>
      <c r="I109" s="61"/>
      <c r="J109" s="61"/>
      <c r="K109" s="61"/>
      <c r="L109" s="61"/>
      <c r="O109" s="61"/>
      <c r="Q109" s="61"/>
      <c r="R109" s="61"/>
      <c r="S109" s="61"/>
      <c r="T109" s="61"/>
    </row>
    <row r="110" spans="2:20" x14ac:dyDescent="0.25">
      <c r="B110" s="61"/>
      <c r="C110" s="61"/>
      <c r="E110" s="61"/>
      <c r="F110" s="61"/>
      <c r="G110" s="61"/>
      <c r="I110" s="61"/>
      <c r="J110" s="61"/>
      <c r="K110" s="61"/>
      <c r="L110" s="61"/>
      <c r="O110" s="61"/>
      <c r="Q110" s="61"/>
      <c r="R110" s="61"/>
      <c r="S110" s="61"/>
      <c r="T110" s="61"/>
    </row>
    <row r="111" spans="2:20" x14ac:dyDescent="0.25">
      <c r="B111" s="61"/>
      <c r="C111" s="61"/>
      <c r="E111" s="61"/>
      <c r="F111" s="61"/>
      <c r="G111" s="61"/>
      <c r="I111" s="61"/>
      <c r="J111" s="61"/>
      <c r="K111" s="61"/>
      <c r="L111" s="61"/>
      <c r="O111" s="61"/>
      <c r="Q111" s="61"/>
      <c r="R111" s="61"/>
      <c r="S111" s="61"/>
      <c r="T111" s="61"/>
    </row>
    <row r="112" spans="2:20" x14ac:dyDescent="0.25">
      <c r="B112" s="61"/>
      <c r="C112" s="61"/>
      <c r="E112" s="61"/>
      <c r="F112" s="61"/>
      <c r="G112" s="61"/>
      <c r="I112" s="61"/>
      <c r="J112" s="61"/>
      <c r="K112" s="61"/>
      <c r="L112" s="61"/>
      <c r="O112" s="61"/>
      <c r="Q112" s="61"/>
      <c r="R112" s="61"/>
      <c r="S112" s="61"/>
      <c r="T112" s="61"/>
    </row>
    <row r="113" spans="2:15" x14ac:dyDescent="0.25">
      <c r="B113" s="61"/>
      <c r="C113" s="61"/>
      <c r="E113" s="61"/>
      <c r="F113" s="61"/>
      <c r="G113" s="61"/>
      <c r="O113" s="61"/>
    </row>
    <row r="114" spans="2:15" x14ac:dyDescent="0.25">
      <c r="B114" s="61"/>
      <c r="C114" s="61"/>
      <c r="E114" s="61"/>
      <c r="F114" s="61"/>
      <c r="G114" s="61"/>
      <c r="O114" s="61"/>
    </row>
    <row r="115" spans="2:15" x14ac:dyDescent="0.25">
      <c r="B115" s="61"/>
      <c r="C115" s="61"/>
      <c r="E115" s="61"/>
      <c r="F115" s="61"/>
      <c r="G115" s="61"/>
      <c r="O115" s="61"/>
    </row>
    <row r="116" spans="2:15" x14ac:dyDescent="0.25">
      <c r="B116" s="61"/>
      <c r="C116" s="61"/>
      <c r="E116" s="61"/>
      <c r="F116" s="61"/>
      <c r="G116" s="61"/>
      <c r="O116" s="61"/>
    </row>
  </sheetData>
  <dataConsolidate/>
  <conditionalFormatting sqref="I1:L1048576 Q1:T1 Q9:T10 Q18:T1048576 Q2:V8 Q11:V17 B1:C1048576 E22:G1048576 E1:G19">
    <cfRule type="cellIs" dxfId="7" priority="7" operator="lessThan">
      <formula>0</formula>
    </cfRule>
  </conditionalFormatting>
  <conditionalFormatting sqref="O1:O12 O22:O1048576">
    <cfRule type="cellIs" dxfId="6" priority="5" operator="lessThan">
      <formula>0</formula>
    </cfRule>
  </conditionalFormatting>
  <conditionalFormatting sqref="O13:O21">
    <cfRule type="cellIs" dxfId="5" priority="4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03F6-972D-4194-8955-837F40F22CF8}">
  <sheetPr codeName="Sheet9"/>
  <dimension ref="A1:C8"/>
  <sheetViews>
    <sheetView workbookViewId="0"/>
  </sheetViews>
  <sheetFormatPr defaultRowHeight="15" x14ac:dyDescent="0.25"/>
  <cols>
    <col min="1" max="1" width="20" style="43" customWidth="1"/>
    <col min="2" max="3" width="13.42578125" style="29" customWidth="1"/>
    <col min="4" max="16384" width="9.140625" style="43"/>
  </cols>
  <sheetData>
    <row r="1" spans="1:3" s="10" customFormat="1" x14ac:dyDescent="0.25">
      <c r="A1" s="10" t="s">
        <v>48</v>
      </c>
      <c r="B1" s="62" t="s">
        <v>38</v>
      </c>
      <c r="C1" s="62" t="s">
        <v>39</v>
      </c>
    </row>
    <row r="2" spans="1:3" x14ac:dyDescent="0.25">
      <c r="A2" s="10" t="s">
        <v>51</v>
      </c>
      <c r="B2" s="66">
        <v>110394.25</v>
      </c>
      <c r="C2" s="66">
        <v>9246.56</v>
      </c>
    </row>
    <row r="3" spans="1:3" x14ac:dyDescent="0.25">
      <c r="A3" s="10" t="s">
        <v>52</v>
      </c>
      <c r="B3" s="66">
        <v>117030.63</v>
      </c>
      <c r="C3" s="66">
        <v>123324.94</v>
      </c>
    </row>
    <row r="4" spans="1:3" x14ac:dyDescent="0.25">
      <c r="A4" s="10" t="s">
        <v>53</v>
      </c>
      <c r="B4" s="66">
        <v>59155.25</v>
      </c>
      <c r="C4" s="66">
        <v>162598.28</v>
      </c>
    </row>
    <row r="5" spans="1:3" x14ac:dyDescent="0.25">
      <c r="A5" s="10" t="s">
        <v>51</v>
      </c>
      <c r="B5" s="29">
        <v>1</v>
      </c>
      <c r="C5" s="29">
        <v>2</v>
      </c>
    </row>
    <row r="6" spans="1:3" x14ac:dyDescent="0.25">
      <c r="A6" s="10" t="s">
        <v>52</v>
      </c>
      <c r="B6" s="29">
        <v>2</v>
      </c>
      <c r="C6" s="29">
        <v>1</v>
      </c>
    </row>
    <row r="7" spans="1:3" x14ac:dyDescent="0.25">
      <c r="A7" s="10" t="s">
        <v>53</v>
      </c>
      <c r="B7" s="29">
        <v>2</v>
      </c>
      <c r="C7" s="29">
        <v>1</v>
      </c>
    </row>
    <row r="8" spans="1:3" x14ac:dyDescent="0.25">
      <c r="A8" s="10"/>
      <c r="B8" s="66"/>
      <c r="C8" s="66"/>
    </row>
  </sheetData>
  <conditionalFormatting sqref="B2:C3">
    <cfRule type="cellIs" dxfId="4" priority="58" operator="lessThan">
      <formula>0</formula>
    </cfRule>
  </conditionalFormatting>
  <conditionalFormatting sqref="B4:C4">
    <cfRule type="cellIs" dxfId="3" priority="34" operator="lessThan">
      <formula>0</formula>
    </cfRule>
  </conditionalFormatting>
  <conditionalFormatting sqref="B8:C8">
    <cfRule type="cellIs" dxfId="2" priority="27" operator="lessThan">
      <formula>0</formula>
    </cfRule>
  </conditionalFormatting>
  <conditionalFormatting sqref="B5:C7">
    <cfRule type="colorScale" priority="66">
      <colorScale>
        <cfvo type="min"/>
        <cfvo type="percentile" val="50"/>
        <cfvo type="max"/>
        <color rgb="FF92D050"/>
        <color rgb="FFFFEB84"/>
        <color rgb="FFE15243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H117"/>
  <sheetViews>
    <sheetView zoomScale="70" zoomScaleNormal="70" workbookViewId="0"/>
  </sheetViews>
  <sheetFormatPr defaultColWidth="14.7109375" defaultRowHeight="15" x14ac:dyDescent="0.25"/>
  <cols>
    <col min="1" max="2" width="14.7109375" style="41"/>
    <col min="3" max="3" width="14.85546875" style="41" customWidth="1"/>
    <col min="4" max="4" width="14.7109375" style="41"/>
    <col min="5" max="5" width="15.7109375" style="41" customWidth="1"/>
    <col min="6" max="28" width="14.7109375" style="41"/>
    <col min="29" max="34" width="14.7109375" style="69"/>
    <col min="35" max="16384" width="14.7109375" style="41"/>
  </cols>
  <sheetData>
    <row r="1" spans="1:34" s="57" customFormat="1" x14ac:dyDescent="0.25">
      <c r="A1" s="8" t="s">
        <v>11</v>
      </c>
      <c r="C1" s="8" t="s">
        <v>13</v>
      </c>
    </row>
    <row r="2" spans="1:34" s="56" customFormat="1" x14ac:dyDescent="0.25">
      <c r="A2" s="9" t="s">
        <v>8</v>
      </c>
      <c r="B2" s="14">
        <v>0.06</v>
      </c>
      <c r="C2" s="20">
        <f>Discount_rate</f>
        <v>0.06</v>
      </c>
      <c r="AC2" s="69"/>
      <c r="AD2" s="69"/>
      <c r="AE2" s="69"/>
      <c r="AF2" s="69"/>
      <c r="AG2" s="69"/>
      <c r="AH2" s="69"/>
    </row>
    <row r="3" spans="1:34" s="56" customFormat="1" x14ac:dyDescent="0.25">
      <c r="A3" s="9" t="s">
        <v>12</v>
      </c>
      <c r="B3" s="24">
        <v>339610.25</v>
      </c>
      <c r="C3" s="32">
        <f>Option_B3_Cost</f>
        <v>339610.25196523999</v>
      </c>
      <c r="AC3" s="69"/>
      <c r="AD3" s="69"/>
      <c r="AE3" s="69"/>
      <c r="AF3" s="69"/>
      <c r="AG3" s="69"/>
      <c r="AH3" s="69"/>
    </row>
    <row r="4" spans="1:34" s="56" customFormat="1" x14ac:dyDescent="0.25">
      <c r="A4" s="9" t="s">
        <v>27</v>
      </c>
      <c r="B4" s="15">
        <v>30</v>
      </c>
      <c r="C4" s="19">
        <f>Network_payment_duration_years</f>
        <v>30</v>
      </c>
      <c r="AC4" s="69"/>
      <c r="AD4" s="69"/>
      <c r="AE4" s="69"/>
      <c r="AF4" s="69"/>
      <c r="AG4" s="69"/>
      <c r="AH4" s="69"/>
    </row>
    <row r="5" spans="1:34" s="56" customFormat="1" x14ac:dyDescent="0.25">
      <c r="A5" s="10"/>
      <c r="B5" s="25"/>
      <c r="D5" s="57"/>
      <c r="E5" s="57"/>
      <c r="AC5" s="69"/>
      <c r="AD5" s="69"/>
      <c r="AE5" s="69"/>
      <c r="AF5" s="69"/>
      <c r="AG5" s="69"/>
      <c r="AH5" s="69"/>
    </row>
    <row r="6" spans="1:34" s="56" customFormat="1" x14ac:dyDescent="0.25">
      <c r="A6" s="30" t="s">
        <v>14</v>
      </c>
      <c r="B6" s="31" t="s">
        <v>51</v>
      </c>
      <c r="C6" s="31" t="s">
        <v>52</v>
      </c>
      <c r="D6" s="31" t="s">
        <v>53</v>
      </c>
      <c r="AC6" s="69"/>
      <c r="AD6" s="69"/>
      <c r="AE6" s="69"/>
      <c r="AF6" s="69"/>
      <c r="AG6" s="69"/>
      <c r="AH6" s="69"/>
    </row>
    <row r="7" spans="1:34" s="56" customFormat="1" x14ac:dyDescent="0.25">
      <c r="A7" s="30" t="s">
        <v>7</v>
      </c>
      <c r="B7" s="24">
        <f>E24</f>
        <v>110394.24747425981</v>
      </c>
      <c r="C7" s="24">
        <f>L24</f>
        <v>117030.628936867</v>
      </c>
      <c r="D7" s="24">
        <f>S24</f>
        <v>59155.253846130159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  <c r="AC7" s="29"/>
      <c r="AD7" s="69"/>
      <c r="AE7" s="69"/>
      <c r="AF7" s="69"/>
      <c r="AG7" s="69"/>
      <c r="AH7" s="69"/>
    </row>
    <row r="8" spans="1:34" s="56" customFormat="1" x14ac:dyDescent="0.25">
      <c r="A8" s="10"/>
      <c r="B8" s="25"/>
      <c r="D8" s="57"/>
      <c r="E8" s="57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  <c r="AC8" s="29"/>
      <c r="AD8" s="69"/>
      <c r="AE8" s="69"/>
      <c r="AF8" s="69"/>
      <c r="AG8" s="69"/>
      <c r="AH8" s="69"/>
    </row>
    <row r="9" spans="1:34" s="57" customFormat="1" x14ac:dyDescent="0.25">
      <c r="A9" s="30" t="str">
        <f>Assumptions!A20</f>
        <v>Sensitivities</v>
      </c>
      <c r="B9" s="4" t="str">
        <f>Assumptions!B20</f>
        <v>Neutral noIC</v>
      </c>
      <c r="C9" s="4" t="str">
        <f>Assumptions!C20</f>
        <v>Commitited gens</v>
      </c>
      <c r="D9" s="4" t="str">
        <f>Assumptions!D20</f>
        <v>Early coal retirement</v>
      </c>
      <c r="E9" s="4" t="str">
        <f>Assumptions!E20</f>
        <v>Total</v>
      </c>
    </row>
    <row r="10" spans="1:34" s="57" customFormat="1" x14ac:dyDescent="0.25">
      <c r="A10" s="9" t="str">
        <f>Assumptions!A21</f>
        <v>Neutral noIC</v>
      </c>
      <c r="B10" s="6">
        <f>Assumptions!B21</f>
        <v>1</v>
      </c>
      <c r="C10" s="6">
        <f>Assumptions!C21</f>
        <v>0</v>
      </c>
      <c r="D10" s="6">
        <f>Assumptions!D21</f>
        <v>0</v>
      </c>
      <c r="E10" s="6">
        <f>Assumptions!E21</f>
        <v>1</v>
      </c>
    </row>
    <row r="11" spans="1:34" s="57" customFormat="1" x14ac:dyDescent="0.25">
      <c r="A11" s="9" t="str">
        <f>Assumptions!A22</f>
        <v>Commitited gens</v>
      </c>
      <c r="B11" s="6">
        <f>Assumptions!B22</f>
        <v>0</v>
      </c>
      <c r="C11" s="6">
        <f>Assumptions!C22</f>
        <v>1</v>
      </c>
      <c r="D11" s="6">
        <f>Assumptions!D22</f>
        <v>0</v>
      </c>
      <c r="E11" s="6">
        <f>Assumptions!E22</f>
        <v>1</v>
      </c>
    </row>
    <row r="12" spans="1:34" s="57" customFormat="1" x14ac:dyDescent="0.25">
      <c r="A12" s="9" t="str">
        <f>Assumptions!A23</f>
        <v>Early coal retirement</v>
      </c>
      <c r="B12" s="6">
        <f>Assumptions!B23</f>
        <v>0</v>
      </c>
      <c r="C12" s="6">
        <f>Assumptions!C23</f>
        <v>0</v>
      </c>
      <c r="D12" s="6">
        <f>Assumptions!D23</f>
        <v>1</v>
      </c>
      <c r="E12" s="6">
        <f>Assumptions!E23</f>
        <v>1</v>
      </c>
    </row>
    <row r="13" spans="1:34" s="57" customFormat="1" x14ac:dyDescent="0.25">
      <c r="A13" s="10"/>
      <c r="B13" s="63"/>
      <c r="C13" s="63"/>
      <c r="D13" s="63"/>
      <c r="E13" s="63"/>
      <c r="F13" s="63"/>
    </row>
    <row r="14" spans="1:34" s="57" customFormat="1" x14ac:dyDescent="0.25">
      <c r="A14" s="33"/>
      <c r="B14" s="4" t="s">
        <v>28</v>
      </c>
      <c r="C14" s="33" t="str">
        <f ca="1">MID(CELL("filename",C1),FIND("]",CELL("filename",C1))+1,255)</f>
        <v>Benefits - Option B3</v>
      </c>
      <c r="D14" s="9" t="s">
        <v>51</v>
      </c>
      <c r="E14" s="9" t="s">
        <v>52</v>
      </c>
      <c r="F14" s="9" t="s">
        <v>53</v>
      </c>
      <c r="G14" s="31" t="s">
        <v>51</v>
      </c>
      <c r="H14" s="31" t="s">
        <v>52</v>
      </c>
      <c r="I14" s="31" t="s">
        <v>53</v>
      </c>
      <c r="N14" s="29"/>
      <c r="O14" s="29"/>
      <c r="P14" s="29"/>
      <c r="T14" s="29"/>
      <c r="U14" s="29"/>
      <c r="V14" s="29"/>
      <c r="AC14" s="29"/>
    </row>
    <row r="15" spans="1:34" s="56" customFormat="1" x14ac:dyDescent="0.25">
      <c r="A15" s="22" t="s">
        <v>8</v>
      </c>
      <c r="B15" s="23">
        <f>Assumptions!B9+Discount_rate</f>
        <v>0.06</v>
      </c>
      <c r="C15" s="53" t="s">
        <v>29</v>
      </c>
      <c r="D15" s="1">
        <v>110394.25</v>
      </c>
      <c r="E15" s="1">
        <v>117030.63</v>
      </c>
      <c r="F15" s="1">
        <v>59155.25</v>
      </c>
      <c r="G15" s="1">
        <f>$B$10*$D15+$C$10*$E15+$D$10*$F15</f>
        <v>110394.25</v>
      </c>
      <c r="H15" s="1">
        <f>$B$11*$D15+$C$11*$E15+$D$11*$F15</f>
        <v>117030.63</v>
      </c>
      <c r="I15" s="1">
        <f>$B$12*$D15+$C$12*$E15+$D$12*$F15</f>
        <v>59155.25</v>
      </c>
      <c r="N15" s="29"/>
      <c r="O15" s="29"/>
      <c r="P15" s="29"/>
      <c r="T15" s="29"/>
      <c r="U15" s="29"/>
      <c r="V15" s="29"/>
      <c r="AC15" s="29"/>
      <c r="AD15" s="69"/>
      <c r="AE15" s="69"/>
      <c r="AF15" s="69"/>
      <c r="AG15" s="69"/>
      <c r="AH15" s="69"/>
    </row>
    <row r="16" spans="1:34" s="56" customFormat="1" x14ac:dyDescent="0.25">
      <c r="A16" s="22"/>
      <c r="B16" s="23">
        <f>Assumptions!B10+Discount_rate</f>
        <v>8.4999999999999992E-2</v>
      </c>
      <c r="C16" s="22" t="str">
        <f>"Discount rate " &amp;Assumptions!B10</f>
        <v>Discount rate 0.025</v>
      </c>
      <c r="D16" s="1">
        <v>46352.83</v>
      </c>
      <c r="E16" s="1">
        <v>-4808.68</v>
      </c>
      <c r="F16" s="1">
        <v>4430.03</v>
      </c>
      <c r="G16" s="1">
        <f t="shared" ref="G16:G20" si="0">$B$10*$D16+$C$10*$E16+$D$10*$F16</f>
        <v>46352.83</v>
      </c>
      <c r="H16" s="1">
        <f t="shared" ref="H16:H20" si="1">$B$11*$D16+$C$11*$E16+$D$11*$F16</f>
        <v>-4808.68</v>
      </c>
      <c r="I16" s="1">
        <f t="shared" ref="I16:I20" si="2">$B$12*$D16+$C$12*$E16+$D$12*$F16</f>
        <v>4430.03</v>
      </c>
      <c r="N16" s="29"/>
      <c r="O16" s="29"/>
      <c r="P16" s="29"/>
      <c r="T16" s="29"/>
      <c r="U16" s="29"/>
      <c r="V16" s="29"/>
      <c r="AC16" s="29"/>
      <c r="AD16" s="69"/>
      <c r="AE16" s="69"/>
      <c r="AF16" s="69"/>
      <c r="AG16" s="69"/>
      <c r="AH16" s="69"/>
    </row>
    <row r="17" spans="1:34" s="56" customFormat="1" x14ac:dyDescent="0.25">
      <c r="A17" s="22"/>
      <c r="B17" s="23">
        <f>Assumptions!B11+Discount_rate</f>
        <v>3.4999999999999996E-2</v>
      </c>
      <c r="C17" s="22" t="str">
        <f>"Discount rate " &amp;Assumptions!B11</f>
        <v>Discount rate -0.025</v>
      </c>
      <c r="D17" s="1">
        <v>232417.97</v>
      </c>
      <c r="E17" s="1">
        <v>385410.61</v>
      </c>
      <c r="F17" s="1">
        <v>169617.99</v>
      </c>
      <c r="G17" s="1">
        <f t="shared" si="0"/>
        <v>232417.97</v>
      </c>
      <c r="H17" s="1">
        <f t="shared" si="1"/>
        <v>385410.61</v>
      </c>
      <c r="I17" s="1">
        <f t="shared" si="2"/>
        <v>169617.99</v>
      </c>
      <c r="N17" s="29"/>
      <c r="O17" s="29"/>
      <c r="P17" s="29"/>
      <c r="T17" s="29"/>
      <c r="U17" s="29"/>
      <c r="V17" s="29"/>
      <c r="AC17" s="29"/>
      <c r="AD17" s="69"/>
      <c r="AE17" s="69"/>
      <c r="AF17" s="69"/>
      <c r="AG17" s="69"/>
      <c r="AH17" s="69"/>
    </row>
    <row r="18" spans="1:34" s="56" customFormat="1" x14ac:dyDescent="0.25">
      <c r="A18" s="21" t="s">
        <v>12</v>
      </c>
      <c r="B18" s="24">
        <f>Assumptions!B13*(Option_B3_Cost)</f>
        <v>441493.32755481201</v>
      </c>
      <c r="C18" s="21" t="str">
        <f>"Cost x "&amp;Assumptions!B13</f>
        <v>Cost x 1.3</v>
      </c>
      <c r="D18" s="1">
        <v>31506.53</v>
      </c>
      <c r="E18" s="1">
        <v>38142.910000000003</v>
      </c>
      <c r="F18" s="1">
        <v>-19732.46</v>
      </c>
      <c r="G18" s="1">
        <f t="shared" si="0"/>
        <v>31506.53</v>
      </c>
      <c r="H18" s="1">
        <f t="shared" si="1"/>
        <v>38142.910000000003</v>
      </c>
      <c r="I18" s="1">
        <f t="shared" si="2"/>
        <v>-19732.46</v>
      </c>
      <c r="N18" s="29"/>
      <c r="O18" s="29"/>
      <c r="P18" s="29"/>
      <c r="T18" s="29"/>
      <c r="U18" s="29"/>
      <c r="V18" s="29"/>
      <c r="AC18" s="29"/>
      <c r="AD18" s="69"/>
      <c r="AE18" s="69"/>
      <c r="AF18" s="69"/>
      <c r="AG18" s="69"/>
      <c r="AH18" s="69"/>
    </row>
    <row r="19" spans="1:34" s="56" customFormat="1" x14ac:dyDescent="0.25">
      <c r="A19" s="21"/>
      <c r="B19" s="24">
        <f>Assumptions!B14*(Option_B3_Cost)</f>
        <v>237727.17637566797</v>
      </c>
      <c r="C19" s="21" t="str">
        <f>"Cost x "&amp;Assumptions!B14</f>
        <v>Cost x 0.7</v>
      </c>
      <c r="D19" s="1">
        <v>189281.95</v>
      </c>
      <c r="E19" s="1">
        <v>195918.34</v>
      </c>
      <c r="F19" s="1">
        <v>138042.96</v>
      </c>
      <c r="G19" s="1">
        <f t="shared" si="0"/>
        <v>189281.95</v>
      </c>
      <c r="H19" s="1">
        <f t="shared" si="1"/>
        <v>195918.34</v>
      </c>
      <c r="I19" s="1">
        <f t="shared" si="2"/>
        <v>138042.96</v>
      </c>
      <c r="N19" s="29"/>
      <c r="O19" s="29"/>
      <c r="P19" s="29"/>
      <c r="T19" s="29"/>
      <c r="U19" s="29"/>
      <c r="V19" s="29"/>
      <c r="AC19" s="29"/>
      <c r="AD19" s="69"/>
      <c r="AE19" s="69"/>
      <c r="AF19" s="69"/>
      <c r="AG19" s="69"/>
      <c r="AH19" s="69"/>
    </row>
    <row r="20" spans="1:34" s="56" customFormat="1" x14ac:dyDescent="0.25">
      <c r="A20" s="51" t="s">
        <v>26</v>
      </c>
      <c r="B20" s="52">
        <f>Network_payment_duration_years+Assumptions!B16</f>
        <v>25</v>
      </c>
      <c r="C20" s="51" t="str">
        <f>"Payback "&amp;Assumptions!B16&amp;" years"</f>
        <v>Payback -5 years</v>
      </c>
      <c r="D20" s="1">
        <v>109812.91</v>
      </c>
      <c r="E20" s="1">
        <v>116449.29</v>
      </c>
      <c r="F20" s="1">
        <v>58573.91</v>
      </c>
      <c r="G20" s="1">
        <f t="shared" si="0"/>
        <v>109812.91</v>
      </c>
      <c r="H20" s="1">
        <f t="shared" si="1"/>
        <v>116449.29</v>
      </c>
      <c r="I20" s="1">
        <f t="shared" si="2"/>
        <v>58573.91</v>
      </c>
      <c r="N20" s="29"/>
      <c r="O20" s="29"/>
      <c r="P20" s="29"/>
      <c r="T20" s="29"/>
      <c r="U20" s="29"/>
      <c r="V20" s="29"/>
      <c r="AC20" s="29"/>
      <c r="AD20" s="69"/>
      <c r="AE20" s="69"/>
      <c r="AF20" s="69"/>
      <c r="AG20" s="69"/>
      <c r="AH20" s="69"/>
    </row>
    <row r="21" spans="1:34" s="56" customFormat="1" x14ac:dyDescent="0.25">
      <c r="A21" s="51"/>
      <c r="B21" s="52">
        <f>Network_payment_duration_years+Assumptions!B17</f>
        <v>35</v>
      </c>
      <c r="C21" s="51" t="str">
        <f>"Payback +"&amp;Assumptions!B17&amp;" years"</f>
        <v>Payback +5 years</v>
      </c>
      <c r="D21" s="1">
        <v>110777.28</v>
      </c>
      <c r="E21" s="1">
        <v>117413.66</v>
      </c>
      <c r="F21" s="1">
        <v>59538.28</v>
      </c>
      <c r="G21" s="1">
        <f>$B$10*$D21+$C$10*$E21+$D$10*$F21</f>
        <v>110777.28</v>
      </c>
      <c r="H21" s="1">
        <f>$B$11*$D21+$C$11*$E21+$D$11*$F21</f>
        <v>117413.66</v>
      </c>
      <c r="I21" s="1">
        <f>$B$12*$D21+$C$12*$E21+$D$12*$F21</f>
        <v>59538.28</v>
      </c>
      <c r="N21" s="29"/>
      <c r="O21" s="29"/>
      <c r="P21" s="29"/>
      <c r="T21" s="29"/>
      <c r="U21" s="29"/>
      <c r="V21" s="29"/>
      <c r="AC21" s="29"/>
      <c r="AD21" s="69"/>
      <c r="AE21" s="69"/>
      <c r="AF21" s="69"/>
      <c r="AG21" s="69"/>
      <c r="AH21" s="69"/>
    </row>
    <row r="22" spans="1:34" s="57" customFormat="1" x14ac:dyDescent="0.25">
      <c r="A22" s="74"/>
      <c r="B22" s="11"/>
      <c r="C22" s="3"/>
      <c r="E22" s="3"/>
    </row>
    <row r="23" spans="1:34" s="56" customFormat="1" x14ac:dyDescent="0.25">
      <c r="A23" s="3"/>
      <c r="B23" s="69"/>
      <c r="C23" s="12" t="s">
        <v>4</v>
      </c>
      <c r="D23" s="12" t="s">
        <v>5</v>
      </c>
      <c r="E23" s="12" t="s">
        <v>6</v>
      </c>
      <c r="F23" s="69"/>
      <c r="G23" s="69"/>
      <c r="H23" s="3"/>
      <c r="I23" s="69"/>
      <c r="J23" s="12" t="s">
        <v>4</v>
      </c>
      <c r="K23" s="12" t="s">
        <v>5</v>
      </c>
      <c r="L23" s="12" t="s">
        <v>6</v>
      </c>
      <c r="O23" s="3"/>
      <c r="P23" s="69"/>
      <c r="Q23" s="12" t="s">
        <v>4</v>
      </c>
      <c r="R23" s="12" t="s">
        <v>5</v>
      </c>
      <c r="S23" s="12" t="s">
        <v>6</v>
      </c>
      <c r="T23" s="69"/>
    </row>
    <row r="24" spans="1:34" s="56" customFormat="1" x14ac:dyDescent="0.25">
      <c r="A24" s="25"/>
      <c r="B24" s="49" t="s">
        <v>7</v>
      </c>
      <c r="C24" s="1">
        <f>NPV($B$2,C30:C43)+C71</f>
        <v>373353.28263767267</v>
      </c>
      <c r="D24" s="1">
        <f>NPV($B$2,D30:D43)+NPV($B$2,E30:E43)</f>
        <v>262959.03516341286</v>
      </c>
      <c r="E24" s="1">
        <f>C24-D24</f>
        <v>110394.24747425981</v>
      </c>
      <c r="F24" s="69"/>
      <c r="G24" s="69"/>
      <c r="H24" s="25"/>
      <c r="I24" s="49" t="s">
        <v>7</v>
      </c>
      <c r="J24" s="1">
        <f>NPV($B$2,J30:J43)+J71</f>
        <v>379989.66410027986</v>
      </c>
      <c r="K24" s="1">
        <f>NPV($B$2,K30:K43)+NPV($B$2,L30:L43)</f>
        <v>262959.03516341286</v>
      </c>
      <c r="L24" s="1">
        <f>J24-K24</f>
        <v>117030.628936867</v>
      </c>
      <c r="O24" s="25"/>
      <c r="P24" s="49" t="s">
        <v>7</v>
      </c>
      <c r="Q24" s="1">
        <f>NPV($B$2,Q30:Q43)+Q71</f>
        <v>322114.28900954302</v>
      </c>
      <c r="R24" s="1">
        <f>NPV($B$2,R30:R43)+NPV($B$2,S30:S43)</f>
        <v>262959.03516341286</v>
      </c>
      <c r="S24" s="1">
        <f>Q24-R24</f>
        <v>59155.253846130159</v>
      </c>
      <c r="T24" s="69"/>
    </row>
    <row r="25" spans="1:34" s="37" customFormat="1" ht="15.75" thickBot="1" x14ac:dyDescent="0.3">
      <c r="A25" s="36"/>
      <c r="C25" s="36"/>
      <c r="D25" s="36"/>
      <c r="E25" s="36"/>
      <c r="H25" s="36"/>
      <c r="J25" s="36"/>
      <c r="K25" s="36"/>
      <c r="L25" s="36"/>
      <c r="O25" s="36"/>
      <c r="Q25" s="36"/>
      <c r="R25" s="36"/>
      <c r="S25" s="36"/>
    </row>
    <row r="26" spans="1:34" s="57" customFormat="1" x14ac:dyDescent="0.25">
      <c r="A26" s="3"/>
      <c r="C26" s="3"/>
      <c r="D26" s="3"/>
      <c r="E26" s="3"/>
      <c r="H26" s="3"/>
      <c r="J26" s="3"/>
      <c r="K26" s="3"/>
      <c r="L26" s="3"/>
      <c r="O26" s="3"/>
      <c r="Q26" s="3"/>
      <c r="R26" s="3"/>
      <c r="S26" s="3"/>
    </row>
    <row r="27" spans="1:34" s="57" customFormat="1" x14ac:dyDescent="0.25">
      <c r="A27" s="75" t="s">
        <v>62</v>
      </c>
      <c r="C27" s="3"/>
      <c r="D27" s="3"/>
      <c r="E27" s="3"/>
      <c r="H27" s="3"/>
      <c r="J27" s="3"/>
      <c r="K27" s="3"/>
      <c r="L27" s="3"/>
      <c r="O27" s="3"/>
      <c r="Q27" s="3"/>
      <c r="R27" s="3"/>
      <c r="S27" s="3"/>
    </row>
    <row r="28" spans="1:34" s="56" customFormat="1" x14ac:dyDescent="0.25">
      <c r="A28" s="26" t="str">
        <f>B6</f>
        <v>Neutral noIC</v>
      </c>
      <c r="B28" s="27"/>
      <c r="C28" s="27"/>
      <c r="D28" s="27"/>
      <c r="E28" s="28"/>
      <c r="F28" s="69"/>
      <c r="G28" s="69"/>
      <c r="H28" s="44" t="str">
        <f>C6</f>
        <v>Commitited gens</v>
      </c>
      <c r="I28" s="27"/>
      <c r="J28" s="27"/>
      <c r="K28" s="27"/>
      <c r="L28" s="28"/>
      <c r="O28" s="44" t="str">
        <f>A12</f>
        <v>Early coal retirement</v>
      </c>
      <c r="P28" s="27"/>
      <c r="Q28" s="27"/>
      <c r="R28" s="27"/>
      <c r="S28" s="28"/>
      <c r="T28" s="69"/>
    </row>
    <row r="29" spans="1:34" s="56" customFormat="1" x14ac:dyDescent="0.25">
      <c r="A29" s="12" t="s">
        <v>0</v>
      </c>
      <c r="B29" s="12" t="s">
        <v>1</v>
      </c>
      <c r="C29" s="12" t="s">
        <v>4</v>
      </c>
      <c r="D29" s="12" t="s">
        <v>5</v>
      </c>
      <c r="E29" s="49" t="s">
        <v>56</v>
      </c>
      <c r="F29" s="69"/>
      <c r="G29" s="69"/>
      <c r="H29" s="12" t="s">
        <v>0</v>
      </c>
      <c r="I29" s="12" t="s">
        <v>1</v>
      </c>
      <c r="J29" s="12" t="s">
        <v>4</v>
      </c>
      <c r="K29" s="12" t="s">
        <v>5</v>
      </c>
      <c r="L29" s="49" t="s">
        <v>56</v>
      </c>
      <c r="O29" s="12" t="s">
        <v>0</v>
      </c>
      <c r="P29" s="12" t="s">
        <v>1</v>
      </c>
      <c r="Q29" s="12" t="s">
        <v>4</v>
      </c>
      <c r="R29" s="12" t="s">
        <v>5</v>
      </c>
      <c r="S29" s="49" t="s">
        <v>56</v>
      </c>
      <c r="T29" s="69"/>
    </row>
    <row r="30" spans="1:34" s="56" customFormat="1" x14ac:dyDescent="0.25">
      <c r="A30" s="77" t="s">
        <v>9</v>
      </c>
      <c r="B30" s="49">
        <v>2020</v>
      </c>
      <c r="C30" s="1">
        <f t="shared" ref="C30:C38" si="3">IF(B30&gt;=Option_B3_Year,SUM(B91:F91),SUM(B109:F109))</f>
        <v>3496.2289531679562</v>
      </c>
      <c r="D30" s="1">
        <f t="shared" ref="D30:D42" si="4">IF(AND(B30&gt;=Option_B3_Year,B30&lt;=(Option_B3_Year+($B$4-1))),-PMT($B$2,$B$4,$B$3,,0),0)</f>
        <v>0</v>
      </c>
      <c r="E30" s="1">
        <f>D30*Assumptions!$D$28</f>
        <v>0</v>
      </c>
      <c r="F30" s="69"/>
      <c r="G30" s="69"/>
      <c r="H30" s="77" t="s">
        <v>9</v>
      </c>
      <c r="I30" s="49">
        <v>2020</v>
      </c>
      <c r="J30" s="1">
        <f t="shared" ref="J30:J42" si="5">IF(I30&gt;=Option_B3_Year,SUM(I91:M91),0)</f>
        <v>0</v>
      </c>
      <c r="K30" s="1">
        <f t="shared" ref="K30:K42" si="6">IF(AND(I30&gt;=Option_B3_Year,I30&lt;=(Option_B3_Year+($B$4-1))),-PMT($B$2,$B$4,$B$3,,0),0)</f>
        <v>0</v>
      </c>
      <c r="L30" s="1">
        <f>K30*Assumptions!$D$28</f>
        <v>0</v>
      </c>
      <c r="O30" s="77" t="s">
        <v>9</v>
      </c>
      <c r="P30" s="49">
        <v>2020</v>
      </c>
      <c r="Q30" s="1">
        <f t="shared" ref="Q30:Q38" si="7">IF(P30&gt;=Option_B3_Year,SUM(P91:T91),SUM(P109:T109))</f>
        <v>2586.498771031067</v>
      </c>
      <c r="R30" s="1">
        <f t="shared" ref="R30:R42" si="8">IF(AND(P30&gt;=Option_B3_Year,P30&lt;=(Option_B3_Year+($B$4-1))),-PMT($B$2,$B$4,$B$3,,0),0)</f>
        <v>0</v>
      </c>
      <c r="S30" s="1">
        <f>R30*Assumptions!$D$28</f>
        <v>0</v>
      </c>
      <c r="T30" s="69"/>
    </row>
    <row r="31" spans="1:34" s="56" customFormat="1" x14ac:dyDescent="0.25">
      <c r="A31" s="78"/>
      <c r="B31" s="49">
        <v>2021</v>
      </c>
      <c r="C31" s="1">
        <f t="shared" si="3"/>
        <v>-7130.563818303126</v>
      </c>
      <c r="D31" s="1">
        <f t="shared" si="4"/>
        <v>0</v>
      </c>
      <c r="E31" s="1">
        <f>D31*Assumptions!$D$28</f>
        <v>0</v>
      </c>
      <c r="F31" s="69"/>
      <c r="G31" s="69"/>
      <c r="H31" s="78"/>
      <c r="I31" s="49">
        <v>2021</v>
      </c>
      <c r="J31" s="1">
        <f t="shared" si="5"/>
        <v>0</v>
      </c>
      <c r="K31" s="1">
        <f t="shared" si="6"/>
        <v>0</v>
      </c>
      <c r="L31" s="1">
        <f>K31*Assumptions!$D$28</f>
        <v>0</v>
      </c>
      <c r="O31" s="78"/>
      <c r="P31" s="49">
        <v>2021</v>
      </c>
      <c r="Q31" s="1">
        <f t="shared" si="7"/>
        <v>-7504.9156915289059</v>
      </c>
      <c r="R31" s="1">
        <f t="shared" si="8"/>
        <v>0</v>
      </c>
      <c r="S31" s="1">
        <f>R31*Assumptions!$D$28</f>
        <v>0</v>
      </c>
      <c r="T31" s="69"/>
    </row>
    <row r="32" spans="1:34" s="56" customFormat="1" x14ac:dyDescent="0.25">
      <c r="A32" s="78"/>
      <c r="B32" s="49">
        <v>2022</v>
      </c>
      <c r="C32" s="1">
        <f t="shared" si="3"/>
        <v>-14462.505350166197</v>
      </c>
      <c r="D32" s="1">
        <f t="shared" si="4"/>
        <v>0</v>
      </c>
      <c r="E32" s="1">
        <f>D32*Assumptions!$D$28</f>
        <v>0</v>
      </c>
      <c r="F32" s="69"/>
      <c r="G32" s="69"/>
      <c r="H32" s="78"/>
      <c r="I32" s="49">
        <v>2022</v>
      </c>
      <c r="J32" s="1">
        <f t="shared" si="5"/>
        <v>0</v>
      </c>
      <c r="K32" s="1">
        <f t="shared" si="6"/>
        <v>0</v>
      </c>
      <c r="L32" s="1">
        <f>K32*Assumptions!$D$28</f>
        <v>0</v>
      </c>
      <c r="O32" s="78"/>
      <c r="P32" s="49">
        <v>2022</v>
      </c>
      <c r="Q32" s="1">
        <f t="shared" si="7"/>
        <v>-14230.538542709422</v>
      </c>
      <c r="R32" s="1">
        <f t="shared" si="8"/>
        <v>0</v>
      </c>
      <c r="S32" s="1">
        <f>R32*Assumptions!$D$28</f>
        <v>0</v>
      </c>
      <c r="T32" s="69"/>
    </row>
    <row r="33" spans="1:20" s="56" customFormat="1" x14ac:dyDescent="0.25">
      <c r="A33" s="78"/>
      <c r="B33" s="49">
        <v>2023</v>
      </c>
      <c r="C33" s="1">
        <f t="shared" si="3"/>
        <v>-50467.503765033878</v>
      </c>
      <c r="D33" s="1">
        <f t="shared" si="4"/>
        <v>0</v>
      </c>
      <c r="E33" s="1">
        <f>D33*Assumptions!$D$28</f>
        <v>0</v>
      </c>
      <c r="F33" s="69"/>
      <c r="G33" s="69"/>
      <c r="H33" s="78"/>
      <c r="I33" s="49">
        <v>2023</v>
      </c>
      <c r="J33" s="1">
        <f t="shared" si="5"/>
        <v>0</v>
      </c>
      <c r="K33" s="1">
        <f t="shared" si="6"/>
        <v>0</v>
      </c>
      <c r="L33" s="1">
        <f>K33*Assumptions!$D$28</f>
        <v>0</v>
      </c>
      <c r="O33" s="78"/>
      <c r="P33" s="49">
        <v>2023</v>
      </c>
      <c r="Q33" s="1">
        <f t="shared" si="7"/>
        <v>-59046.23341619518</v>
      </c>
      <c r="R33" s="1">
        <f t="shared" si="8"/>
        <v>0</v>
      </c>
      <c r="S33" s="1">
        <f>R33*Assumptions!$D$28</f>
        <v>0</v>
      </c>
      <c r="T33" s="69"/>
    </row>
    <row r="34" spans="1:20" s="56" customFormat="1" x14ac:dyDescent="0.25">
      <c r="A34" s="78"/>
      <c r="B34" s="49">
        <v>2024</v>
      </c>
      <c r="C34" s="1">
        <f t="shared" si="3"/>
        <v>8275.7050541748613</v>
      </c>
      <c r="D34" s="1">
        <f t="shared" si="4"/>
        <v>24672.314993362808</v>
      </c>
      <c r="E34" s="1">
        <f>D34*Assumptions!$D$28</f>
        <v>156.59758699904734</v>
      </c>
      <c r="F34" s="69"/>
      <c r="G34" s="69"/>
      <c r="H34" s="78"/>
      <c r="I34" s="49">
        <v>2024</v>
      </c>
      <c r="J34" s="1">
        <f t="shared" si="5"/>
        <v>22236.690369388387</v>
      </c>
      <c r="K34" s="1">
        <f t="shared" si="6"/>
        <v>24672.314993362808</v>
      </c>
      <c r="L34" s="1">
        <f>K34*Assumptions!$D$28</f>
        <v>156.59758699904734</v>
      </c>
      <c r="O34" s="78"/>
      <c r="P34" s="49">
        <v>2024</v>
      </c>
      <c r="Q34" s="1">
        <f t="shared" si="7"/>
        <v>3743.6168221220478</v>
      </c>
      <c r="R34" s="1">
        <f t="shared" si="8"/>
        <v>24672.314993362808</v>
      </c>
      <c r="S34" s="1">
        <f>R34*Assumptions!$D$28</f>
        <v>156.59758699904734</v>
      </c>
      <c r="T34" s="69"/>
    </row>
    <row r="35" spans="1:20" s="56" customFormat="1" x14ac:dyDescent="0.25">
      <c r="A35" s="78"/>
      <c r="B35" s="49">
        <v>2025</v>
      </c>
      <c r="C35" s="1">
        <f t="shared" si="3"/>
        <v>-24837.767211638697</v>
      </c>
      <c r="D35" s="1">
        <f t="shared" si="4"/>
        <v>24672.314993362808</v>
      </c>
      <c r="E35" s="1">
        <f>D35*Assumptions!$D$28</f>
        <v>156.59758699904734</v>
      </c>
      <c r="F35" s="69"/>
      <c r="G35" s="69"/>
      <c r="H35" s="78"/>
      <c r="I35" s="49">
        <v>2025</v>
      </c>
      <c r="J35" s="1">
        <f t="shared" si="5"/>
        <v>-7446.5252586919887</v>
      </c>
      <c r="K35" s="1">
        <f t="shared" si="6"/>
        <v>24672.314993362808</v>
      </c>
      <c r="L35" s="1">
        <f>K35*Assumptions!$D$28</f>
        <v>156.59758699904734</v>
      </c>
      <c r="O35" s="78"/>
      <c r="P35" s="49">
        <v>2025</v>
      </c>
      <c r="Q35" s="1">
        <f t="shared" si="7"/>
        <v>6928.9978002547341</v>
      </c>
      <c r="R35" s="1">
        <f t="shared" si="8"/>
        <v>24672.314993362808</v>
      </c>
      <c r="S35" s="1">
        <f>R35*Assumptions!$D$28</f>
        <v>156.59758699904734</v>
      </c>
      <c r="T35" s="69"/>
    </row>
    <row r="36" spans="1:20" s="56" customFormat="1" x14ac:dyDescent="0.25">
      <c r="A36" s="78"/>
      <c r="B36" s="49">
        <v>2026</v>
      </c>
      <c r="C36" s="1">
        <f t="shared" si="3"/>
        <v>-10413.532416968614</v>
      </c>
      <c r="D36" s="1">
        <f t="shared" si="4"/>
        <v>24672.314993362808</v>
      </c>
      <c r="E36" s="1">
        <f>D36*Assumptions!$D$28</f>
        <v>156.59758699904734</v>
      </c>
      <c r="F36" s="69"/>
      <c r="G36" s="69"/>
      <c r="H36" s="78"/>
      <c r="I36" s="49">
        <v>2026</v>
      </c>
      <c r="J36" s="1">
        <f t="shared" si="5"/>
        <v>10983.134976639732</v>
      </c>
      <c r="K36" s="1">
        <f t="shared" si="6"/>
        <v>24672.314993362808</v>
      </c>
      <c r="L36" s="1">
        <f>K36*Assumptions!$D$28</f>
        <v>156.59758699904734</v>
      </c>
      <c r="O36" s="78"/>
      <c r="P36" s="49">
        <v>2026</v>
      </c>
      <c r="Q36" s="1">
        <f t="shared" si="7"/>
        <v>3433.1887945757221</v>
      </c>
      <c r="R36" s="1">
        <f t="shared" si="8"/>
        <v>24672.314993362808</v>
      </c>
      <c r="S36" s="1">
        <f>R36*Assumptions!$D$28</f>
        <v>156.59758699904734</v>
      </c>
      <c r="T36" s="69"/>
    </row>
    <row r="37" spans="1:20" s="56" customFormat="1" x14ac:dyDescent="0.25">
      <c r="A37" s="78"/>
      <c r="B37" s="49">
        <v>2027</v>
      </c>
      <c r="C37" s="1">
        <f t="shared" si="3"/>
        <v>-5976.9070307085494</v>
      </c>
      <c r="D37" s="1">
        <f t="shared" si="4"/>
        <v>24672.314993362808</v>
      </c>
      <c r="E37" s="1">
        <f>D37*Assumptions!$D$28</f>
        <v>156.59758699904734</v>
      </c>
      <c r="F37" s="69"/>
      <c r="G37" s="69"/>
      <c r="H37" s="78"/>
      <c r="I37" s="49">
        <v>2027</v>
      </c>
      <c r="J37" s="1">
        <f t="shared" si="5"/>
        <v>7455.5966204415163</v>
      </c>
      <c r="K37" s="1">
        <f t="shared" si="6"/>
        <v>24672.314993362808</v>
      </c>
      <c r="L37" s="1">
        <f>K37*Assumptions!$D$28</f>
        <v>156.59758699904734</v>
      </c>
      <c r="O37" s="78"/>
      <c r="P37" s="49">
        <v>2027</v>
      </c>
      <c r="Q37" s="1">
        <f t="shared" si="7"/>
        <v>856.50152218062465</v>
      </c>
      <c r="R37" s="1">
        <f t="shared" si="8"/>
        <v>24672.314993362808</v>
      </c>
      <c r="S37" s="1">
        <f>R37*Assumptions!$D$28</f>
        <v>156.59758699904734</v>
      </c>
      <c r="T37" s="69"/>
    </row>
    <row r="38" spans="1:20" s="56" customFormat="1" x14ac:dyDescent="0.25">
      <c r="A38" s="78"/>
      <c r="B38" s="49">
        <v>2028</v>
      </c>
      <c r="C38" s="1">
        <f t="shared" si="3"/>
        <v>-6737.5467112788247</v>
      </c>
      <c r="D38" s="1">
        <f t="shared" si="4"/>
        <v>24672.314993362808</v>
      </c>
      <c r="E38" s="1">
        <f>D38*Assumptions!$D$28</f>
        <v>156.59758699904734</v>
      </c>
      <c r="F38" s="69"/>
      <c r="G38" s="69"/>
      <c r="H38" s="78"/>
      <c r="I38" s="49">
        <v>2028</v>
      </c>
      <c r="J38" s="1">
        <f t="shared" si="5"/>
        <v>9249.720806508587</v>
      </c>
      <c r="K38" s="1">
        <f t="shared" si="6"/>
        <v>24672.314993362808</v>
      </c>
      <c r="L38" s="1">
        <f>K38*Assumptions!$D$28</f>
        <v>156.59758699904734</v>
      </c>
      <c r="O38" s="78"/>
      <c r="P38" s="49">
        <v>2028</v>
      </c>
      <c r="Q38" s="1">
        <f t="shared" si="7"/>
        <v>-801.32783248570081</v>
      </c>
      <c r="R38" s="1">
        <f t="shared" si="8"/>
        <v>24672.314993362808</v>
      </c>
      <c r="S38" s="1">
        <f>R38*Assumptions!$D$28</f>
        <v>156.59758699904734</v>
      </c>
      <c r="T38" s="69"/>
    </row>
    <row r="39" spans="1:20" s="56" customFormat="1" x14ac:dyDescent="0.25">
      <c r="A39" s="78"/>
      <c r="B39" s="49">
        <v>2029</v>
      </c>
      <c r="C39" s="1">
        <f>IF(B39&gt;=Option_B3_Year,SUM(B100:F100),SUM(P118:T118))</f>
        <v>8506.6322763907519</v>
      </c>
      <c r="D39" s="1">
        <f t="shared" si="4"/>
        <v>24672.314993362808</v>
      </c>
      <c r="E39" s="1">
        <f>D39*Assumptions!$D$28</f>
        <v>156.59758699904734</v>
      </c>
      <c r="F39" s="69"/>
      <c r="G39" s="69"/>
      <c r="H39" s="78"/>
      <c r="I39" s="49">
        <v>2029</v>
      </c>
      <c r="J39" s="1">
        <f t="shared" si="5"/>
        <v>38271.831350951717</v>
      </c>
      <c r="K39" s="1">
        <f t="shared" si="6"/>
        <v>24672.314993362808</v>
      </c>
      <c r="L39" s="1">
        <f>K39*Assumptions!$D$28</f>
        <v>156.59758699904734</v>
      </c>
      <c r="O39" s="78"/>
      <c r="P39" s="49">
        <v>2029</v>
      </c>
      <c r="Q39" s="1">
        <f>IF(P39&gt;=Option_B3_Year,SUM(P100:T100),SUM(AD118:AH118))</f>
        <v>2311.0551132747751</v>
      </c>
      <c r="R39" s="1">
        <f t="shared" si="8"/>
        <v>24672.314993362808</v>
      </c>
      <c r="S39" s="1">
        <f>R39*Assumptions!$D$28</f>
        <v>156.59758699904734</v>
      </c>
      <c r="T39" s="69"/>
    </row>
    <row r="40" spans="1:20" s="56" customFormat="1" x14ac:dyDescent="0.25">
      <c r="A40" s="78"/>
      <c r="B40" s="49">
        <v>2030</v>
      </c>
      <c r="C40" s="1">
        <f>IF(B40&gt;=Option_B3_Year,SUM(B101:F101),SUM(P119:T119))</f>
        <v>10957.311753034497</v>
      </c>
      <c r="D40" s="1">
        <f t="shared" si="4"/>
        <v>24672.314993362808</v>
      </c>
      <c r="E40" s="1">
        <f>D40*Assumptions!$D$28</f>
        <v>156.59758699904734</v>
      </c>
      <c r="F40" s="69"/>
      <c r="G40" s="69"/>
      <c r="H40" s="78"/>
      <c r="I40" s="49">
        <v>2030</v>
      </c>
      <c r="J40" s="1">
        <f t="shared" si="5"/>
        <v>38300.701825651195</v>
      </c>
      <c r="K40" s="1">
        <f t="shared" si="6"/>
        <v>24672.314993362808</v>
      </c>
      <c r="L40" s="1">
        <f>K40*Assumptions!$D$28</f>
        <v>156.59758699904734</v>
      </c>
      <c r="O40" s="78"/>
      <c r="P40" s="49">
        <v>2030</v>
      </c>
      <c r="Q40" s="1">
        <f>IF(P40&gt;=Option_B3_Year,SUM(P101:T101),SUM(AD119:AH119))</f>
        <v>13201.076682676427</v>
      </c>
      <c r="R40" s="1">
        <f t="shared" si="8"/>
        <v>24672.314993362808</v>
      </c>
      <c r="S40" s="1">
        <f>R40*Assumptions!$D$28</f>
        <v>156.59758699904734</v>
      </c>
      <c r="T40" s="69"/>
    </row>
    <row r="41" spans="1:20" s="56" customFormat="1" x14ac:dyDescent="0.25">
      <c r="A41" s="78"/>
      <c r="B41" s="49">
        <v>2031</v>
      </c>
      <c r="C41" s="1">
        <f>IF(B41&gt;=Option_B3_Year,SUM(B102:F102),SUM(P120:T120))</f>
        <v>11123.525751682682</v>
      </c>
      <c r="D41" s="1">
        <f t="shared" si="4"/>
        <v>24672.314993362808</v>
      </c>
      <c r="E41" s="1">
        <f>D41*Assumptions!$D$28</f>
        <v>156.59758699904734</v>
      </c>
      <c r="F41" s="69"/>
      <c r="G41" s="69"/>
      <c r="H41" s="78"/>
      <c r="I41" s="49">
        <v>2031</v>
      </c>
      <c r="J41" s="1">
        <f t="shared" si="5"/>
        <v>38584.027585330681</v>
      </c>
      <c r="K41" s="1">
        <f t="shared" si="6"/>
        <v>24672.314993362808</v>
      </c>
      <c r="L41" s="1">
        <f>K41*Assumptions!$D$28</f>
        <v>156.59758699904734</v>
      </c>
      <c r="O41" s="78"/>
      <c r="P41" s="49">
        <v>2031</v>
      </c>
      <c r="Q41" s="1">
        <f>IF(P41&gt;=Option_B3_Year,SUM(P102:T102),SUM(AD120:AH120))</f>
        <v>15220.760348766642</v>
      </c>
      <c r="R41" s="1">
        <f t="shared" si="8"/>
        <v>24672.314993362808</v>
      </c>
      <c r="S41" s="1">
        <f>R41*Assumptions!$D$28</f>
        <v>156.59758699904734</v>
      </c>
      <c r="T41" s="69"/>
    </row>
    <row r="42" spans="1:20" s="56" customFormat="1" x14ac:dyDescent="0.25">
      <c r="A42" s="78"/>
      <c r="B42" s="49">
        <v>2032</v>
      </c>
      <c r="C42" s="1">
        <f>IF(B42&gt;=Option_B3_Year,SUM(B103:F103),SUM(P121:T121))</f>
        <v>18097.989034736907</v>
      </c>
      <c r="D42" s="1">
        <f t="shared" si="4"/>
        <v>24672.314993362808</v>
      </c>
      <c r="E42" s="1">
        <f>D42*Assumptions!$D$28</f>
        <v>156.59758699904734</v>
      </c>
      <c r="F42" s="69"/>
      <c r="G42" s="69"/>
      <c r="H42" s="78"/>
      <c r="I42" s="49">
        <v>2032</v>
      </c>
      <c r="J42" s="1">
        <f t="shared" si="5"/>
        <v>41038.538365717875</v>
      </c>
      <c r="K42" s="1">
        <f t="shared" si="6"/>
        <v>24672.314993362808</v>
      </c>
      <c r="L42" s="1">
        <f>K42*Assumptions!$D$28</f>
        <v>156.59758699904734</v>
      </c>
      <c r="O42" s="78"/>
      <c r="P42" s="49">
        <v>2032</v>
      </c>
      <c r="Q42" s="1">
        <f>IF(P42&gt;=Option_B3_Year,SUM(P103:T103),SUM(AD121:AH121))</f>
        <v>12209.573828856726</v>
      </c>
      <c r="R42" s="1">
        <f t="shared" si="8"/>
        <v>24672.314993362808</v>
      </c>
      <c r="S42" s="1">
        <f>R42*Assumptions!$D$28</f>
        <v>156.59758699904734</v>
      </c>
      <c r="T42" s="69"/>
    </row>
    <row r="43" spans="1:20" s="56" customFormat="1" x14ac:dyDescent="0.25">
      <c r="A43" s="79"/>
      <c r="B43" s="49" t="s">
        <v>35</v>
      </c>
      <c r="C43" s="1">
        <f>-PV($B$2,(Network_option_lifespan-(B42-Option_B3_Year)),AVERAGE(C40:C42),,0)</f>
        <v>203901.42836519677</v>
      </c>
      <c r="D43" s="1">
        <f>-PV($B$2,($B$4-COUNTIF(D30:D42,"&gt;"&amp;0)),$D$42,,0)</f>
        <v>290247.00400647247</v>
      </c>
      <c r="E43" s="1">
        <f>-PV($B$2,($B$4-COUNTIF(E30:E42,"&gt;"&amp;0)),$E$42,,0)</f>
        <v>1842.2260121656041</v>
      </c>
      <c r="F43" s="69"/>
      <c r="G43" s="69"/>
      <c r="H43" s="79"/>
      <c r="I43" s="49" t="s">
        <v>35</v>
      </c>
      <c r="J43" s="1">
        <f>-PV($B$2,(Network_option_lifespan-(I42-Option_B3_Year)),AVERAGE(J40:J42),,0)</f>
        <v>598442.63280187279</v>
      </c>
      <c r="K43" s="1">
        <f>-PV($B$2,($B$4-COUNTIF(K30:K42,"&gt;"&amp;0)),$K$42,,0)</f>
        <v>290247.00400647247</v>
      </c>
      <c r="L43" s="1">
        <f>-PV($B$2,($B$4-COUNTIF(L30:L42,"&gt;"&amp;0)),$L$42,,0)</f>
        <v>1842.2260121656041</v>
      </c>
      <c r="O43" s="79"/>
      <c r="P43" s="49" t="s">
        <v>35</v>
      </c>
      <c r="Q43" s="1">
        <f>-PV($B$2,(Network_option_lifespan-(P42-Option_B3_Year)),AVERAGE(Q40:Q42),,0)</f>
        <v>206198.22489770662</v>
      </c>
      <c r="R43" s="1">
        <f>-PV($B$2,($B$4-COUNTIF(R30:R42,"&gt;"&amp;0)),$R$42,,0)</f>
        <v>290247.00400647247</v>
      </c>
      <c r="S43" s="1">
        <f>-PV($B$2,($B$4-COUNTIF(S30:S42,"&gt;"&amp;0)),$S$42,,0)</f>
        <v>1842.2260121656041</v>
      </c>
      <c r="T43" s="69"/>
    </row>
    <row r="44" spans="1:20" s="56" customFormat="1" x14ac:dyDescent="0.25">
      <c r="A44" s="69"/>
      <c r="B44" s="69"/>
      <c r="C44" s="69"/>
      <c r="D44" s="69"/>
      <c r="E44" s="69"/>
      <c r="F44" s="69"/>
      <c r="G44" s="69"/>
      <c r="H44" s="69"/>
      <c r="I44" s="69"/>
      <c r="O44" s="69"/>
      <c r="P44" s="69"/>
      <c r="Q44" s="69"/>
      <c r="R44" s="69"/>
      <c r="S44" s="69"/>
      <c r="T44" s="69"/>
    </row>
    <row r="45" spans="1:20" s="56" customFormat="1" x14ac:dyDescent="0.25">
      <c r="A45" s="7" t="s">
        <v>63</v>
      </c>
      <c r="B45" s="69"/>
      <c r="C45" s="69"/>
      <c r="D45" s="69"/>
      <c r="E45" s="69"/>
      <c r="F45" s="69"/>
      <c r="G45" s="69"/>
      <c r="H45" s="69"/>
      <c r="I45" s="69"/>
      <c r="O45" s="69"/>
      <c r="P45" s="69"/>
      <c r="Q45" s="69"/>
      <c r="R45" s="69"/>
      <c r="S45" s="69"/>
      <c r="T45" s="69"/>
    </row>
    <row r="46" spans="1:20" s="56" customFormat="1" x14ac:dyDescent="0.25">
      <c r="A46" s="44" t="str">
        <f>B6</f>
        <v>Neutral noIC</v>
      </c>
      <c r="B46" s="27"/>
      <c r="C46" s="55"/>
      <c r="D46" s="27"/>
      <c r="E46" s="55">
        <f>NPV($B$2,C48:C68)</f>
        <v>0</v>
      </c>
      <c r="F46" s="69"/>
      <c r="G46" s="69"/>
      <c r="H46" s="44" t="str">
        <f>C6</f>
        <v>Commitited gens</v>
      </c>
      <c r="I46" s="27"/>
      <c r="J46" s="55"/>
      <c r="K46" s="27"/>
      <c r="L46" s="55">
        <f>NPV($B$2,J48:J68)</f>
        <v>0</v>
      </c>
      <c r="O46" s="44" t="str">
        <f>A12</f>
        <v>Early coal retirement</v>
      </c>
      <c r="P46" s="27"/>
      <c r="Q46" s="55"/>
      <c r="R46" s="27"/>
      <c r="S46" s="55">
        <f>NPV($B$2,Q48:Q68)</f>
        <v>0</v>
      </c>
      <c r="T46" s="69"/>
    </row>
    <row r="47" spans="1:20" s="56" customFormat="1" x14ac:dyDescent="0.25">
      <c r="A47" s="12" t="s">
        <v>0</v>
      </c>
      <c r="B47" s="12" t="s">
        <v>1</v>
      </c>
      <c r="C47" s="12" t="s">
        <v>19</v>
      </c>
      <c r="D47" s="12" t="s">
        <v>20</v>
      </c>
      <c r="E47" s="49" t="s">
        <v>21</v>
      </c>
      <c r="F47" s="69"/>
      <c r="G47" s="69"/>
      <c r="H47" s="12" t="s">
        <v>0</v>
      </c>
      <c r="I47" s="12" t="s">
        <v>1</v>
      </c>
      <c r="J47" s="12" t="s">
        <v>19</v>
      </c>
      <c r="K47" s="12" t="s">
        <v>20</v>
      </c>
      <c r="L47" s="49" t="s">
        <v>21</v>
      </c>
      <c r="O47" s="12" t="s">
        <v>0</v>
      </c>
      <c r="P47" s="12" t="s">
        <v>1</v>
      </c>
      <c r="Q47" s="12" t="s">
        <v>19</v>
      </c>
      <c r="R47" s="12" t="s">
        <v>20</v>
      </c>
      <c r="S47" s="49" t="s">
        <v>21</v>
      </c>
      <c r="T47" s="69"/>
    </row>
    <row r="48" spans="1:20" s="56" customFormat="1" x14ac:dyDescent="0.25">
      <c r="A48" s="77" t="s">
        <v>9</v>
      </c>
      <c r="B48" s="12">
        <v>2020</v>
      </c>
      <c r="C48" s="1">
        <v>0</v>
      </c>
      <c r="D48" s="1">
        <v>0</v>
      </c>
      <c r="E48" s="1">
        <v>0</v>
      </c>
      <c r="F48" s="69"/>
      <c r="G48" s="69"/>
      <c r="H48" s="77" t="s">
        <v>9</v>
      </c>
      <c r="I48" s="12">
        <v>2020</v>
      </c>
      <c r="J48" s="1">
        <v>0</v>
      </c>
      <c r="K48" s="1">
        <v>0</v>
      </c>
      <c r="L48" s="1">
        <v>0</v>
      </c>
      <c r="O48" s="77" t="s">
        <v>9</v>
      </c>
      <c r="P48" s="12">
        <v>2020</v>
      </c>
      <c r="Q48" s="1">
        <v>0</v>
      </c>
      <c r="R48" s="1">
        <v>0</v>
      </c>
      <c r="S48" s="1">
        <v>0</v>
      </c>
      <c r="T48" s="69"/>
    </row>
    <row r="49" spans="1:20" s="56" customFormat="1" x14ac:dyDescent="0.25">
      <c r="A49" s="78" t="s">
        <v>9</v>
      </c>
      <c r="B49" s="49">
        <v>2021</v>
      </c>
      <c r="C49" s="1">
        <v>0</v>
      </c>
      <c r="D49" s="1">
        <v>0</v>
      </c>
      <c r="E49" s="1">
        <v>0</v>
      </c>
      <c r="F49" s="69"/>
      <c r="G49" s="69"/>
      <c r="H49" s="78" t="s">
        <v>9</v>
      </c>
      <c r="I49" s="49">
        <v>2021</v>
      </c>
      <c r="J49" s="1">
        <v>0</v>
      </c>
      <c r="K49" s="1">
        <v>0</v>
      </c>
      <c r="L49" s="1">
        <v>0</v>
      </c>
      <c r="O49" s="78" t="s">
        <v>9</v>
      </c>
      <c r="P49" s="49">
        <v>2021</v>
      </c>
      <c r="Q49" s="1">
        <v>0</v>
      </c>
      <c r="R49" s="1">
        <v>0</v>
      </c>
      <c r="S49" s="1">
        <v>0</v>
      </c>
      <c r="T49" s="69"/>
    </row>
    <row r="50" spans="1:20" s="56" customFormat="1" x14ac:dyDescent="0.25">
      <c r="A50" s="78"/>
      <c r="B50" s="49">
        <v>2022</v>
      </c>
      <c r="C50" s="1">
        <v>0</v>
      </c>
      <c r="D50" s="1">
        <v>0</v>
      </c>
      <c r="E50" s="1">
        <v>0</v>
      </c>
      <c r="F50" s="69"/>
      <c r="G50" s="69"/>
      <c r="H50" s="78"/>
      <c r="I50" s="49">
        <v>2022</v>
      </c>
      <c r="J50" s="1">
        <v>0</v>
      </c>
      <c r="K50" s="1">
        <v>0</v>
      </c>
      <c r="L50" s="1">
        <v>0</v>
      </c>
      <c r="O50" s="78"/>
      <c r="P50" s="49">
        <v>2022</v>
      </c>
      <c r="Q50" s="1">
        <v>0</v>
      </c>
      <c r="R50" s="1">
        <v>0</v>
      </c>
      <c r="S50" s="1">
        <v>0</v>
      </c>
      <c r="T50" s="69"/>
    </row>
    <row r="51" spans="1:20" s="56" customFormat="1" x14ac:dyDescent="0.25">
      <c r="A51" s="78"/>
      <c r="B51" s="49">
        <v>2023</v>
      </c>
      <c r="C51" s="1">
        <v>0</v>
      </c>
      <c r="D51" s="1">
        <v>0</v>
      </c>
      <c r="E51" s="1">
        <v>0</v>
      </c>
      <c r="F51" s="69"/>
      <c r="G51" s="69"/>
      <c r="H51" s="78"/>
      <c r="I51" s="49">
        <v>2023</v>
      </c>
      <c r="J51" s="1">
        <v>0</v>
      </c>
      <c r="K51" s="1">
        <v>0</v>
      </c>
      <c r="L51" s="1">
        <v>0</v>
      </c>
      <c r="O51" s="78"/>
      <c r="P51" s="49">
        <v>2023</v>
      </c>
      <c r="Q51" s="1">
        <v>0</v>
      </c>
      <c r="R51" s="1">
        <v>0</v>
      </c>
      <c r="S51" s="1">
        <v>0</v>
      </c>
      <c r="T51" s="69"/>
    </row>
    <row r="52" spans="1:20" s="56" customFormat="1" x14ac:dyDescent="0.25">
      <c r="A52" s="78"/>
      <c r="B52" s="49">
        <v>2024</v>
      </c>
      <c r="C52" s="1">
        <v>0</v>
      </c>
      <c r="D52" s="1">
        <v>0</v>
      </c>
      <c r="E52" s="1">
        <v>0</v>
      </c>
      <c r="F52" s="69"/>
      <c r="G52" s="69"/>
      <c r="H52" s="78"/>
      <c r="I52" s="49">
        <v>2024</v>
      </c>
      <c r="J52" s="1">
        <v>0</v>
      </c>
      <c r="K52" s="1">
        <v>0</v>
      </c>
      <c r="L52" s="1">
        <v>0</v>
      </c>
      <c r="O52" s="78"/>
      <c r="P52" s="49">
        <v>2024</v>
      </c>
      <c r="Q52" s="1">
        <v>0</v>
      </c>
      <c r="R52" s="1">
        <v>0</v>
      </c>
      <c r="S52" s="1">
        <v>0</v>
      </c>
      <c r="T52" s="69"/>
    </row>
    <row r="53" spans="1:20" s="56" customFormat="1" x14ac:dyDescent="0.25">
      <c r="A53" s="78"/>
      <c r="B53" s="49">
        <v>2025</v>
      </c>
      <c r="C53" s="1">
        <v>0</v>
      </c>
      <c r="D53" s="1">
        <v>0</v>
      </c>
      <c r="E53" s="1">
        <v>0</v>
      </c>
      <c r="F53" s="69"/>
      <c r="G53" s="69"/>
      <c r="H53" s="78"/>
      <c r="I53" s="49">
        <v>2025</v>
      </c>
      <c r="J53" s="1">
        <v>0</v>
      </c>
      <c r="K53" s="1">
        <v>0</v>
      </c>
      <c r="L53" s="1">
        <v>0</v>
      </c>
      <c r="O53" s="78"/>
      <c r="P53" s="49">
        <v>2025</v>
      </c>
      <c r="Q53" s="1">
        <v>0</v>
      </c>
      <c r="R53" s="1">
        <v>0</v>
      </c>
      <c r="S53" s="1">
        <v>0</v>
      </c>
      <c r="T53" s="69"/>
    </row>
    <row r="54" spans="1:20" s="56" customFormat="1" x14ac:dyDescent="0.25">
      <c r="A54" s="78"/>
      <c r="B54" s="49">
        <v>2026</v>
      </c>
      <c r="C54" s="1">
        <v>0</v>
      </c>
      <c r="D54" s="1">
        <v>0</v>
      </c>
      <c r="E54" s="1">
        <v>0</v>
      </c>
      <c r="F54" s="69"/>
      <c r="G54" s="69"/>
      <c r="H54" s="78"/>
      <c r="I54" s="49">
        <v>2026</v>
      </c>
      <c r="J54" s="1">
        <v>0</v>
      </c>
      <c r="K54" s="1">
        <v>0</v>
      </c>
      <c r="L54" s="1">
        <v>0</v>
      </c>
      <c r="O54" s="78"/>
      <c r="P54" s="49">
        <v>2026</v>
      </c>
      <c r="Q54" s="1">
        <v>0</v>
      </c>
      <c r="R54" s="1">
        <v>0</v>
      </c>
      <c r="S54" s="1">
        <v>0</v>
      </c>
      <c r="T54" s="69"/>
    </row>
    <row r="55" spans="1:20" s="56" customFormat="1" x14ac:dyDescent="0.25">
      <c r="A55" s="78"/>
      <c r="B55" s="49">
        <v>2027</v>
      </c>
      <c r="C55" s="1">
        <v>0</v>
      </c>
      <c r="D55" s="1">
        <v>0</v>
      </c>
      <c r="E55" s="1">
        <v>0</v>
      </c>
      <c r="F55" s="69"/>
      <c r="G55" s="69"/>
      <c r="H55" s="78"/>
      <c r="I55" s="49">
        <v>2027</v>
      </c>
      <c r="J55" s="1">
        <v>0</v>
      </c>
      <c r="K55" s="1">
        <v>0</v>
      </c>
      <c r="L55" s="1">
        <v>0</v>
      </c>
      <c r="O55" s="78"/>
      <c r="P55" s="49">
        <v>2027</v>
      </c>
      <c r="Q55" s="1">
        <v>0</v>
      </c>
      <c r="R55" s="1">
        <v>0</v>
      </c>
      <c r="S55" s="1">
        <v>0</v>
      </c>
      <c r="T55" s="69"/>
    </row>
    <row r="56" spans="1:20" s="56" customFormat="1" x14ac:dyDescent="0.25">
      <c r="A56" s="78"/>
      <c r="B56" s="49">
        <v>2028</v>
      </c>
      <c r="C56" s="1">
        <v>0</v>
      </c>
      <c r="D56" s="1">
        <v>0</v>
      </c>
      <c r="E56" s="1">
        <v>0</v>
      </c>
      <c r="F56" s="69"/>
      <c r="G56" s="69"/>
      <c r="H56" s="78"/>
      <c r="I56" s="49">
        <v>2028</v>
      </c>
      <c r="J56" s="1">
        <v>0</v>
      </c>
      <c r="K56" s="1">
        <v>0</v>
      </c>
      <c r="L56" s="1">
        <v>0</v>
      </c>
      <c r="O56" s="78"/>
      <c r="P56" s="49">
        <v>2028</v>
      </c>
      <c r="Q56" s="1">
        <v>0</v>
      </c>
      <c r="R56" s="1">
        <v>0</v>
      </c>
      <c r="S56" s="1">
        <v>0</v>
      </c>
      <c r="T56" s="69"/>
    </row>
    <row r="57" spans="1:20" s="56" customFormat="1" x14ac:dyDescent="0.25">
      <c r="A57" s="78"/>
      <c r="B57" s="49">
        <v>2029</v>
      </c>
      <c r="C57" s="1">
        <v>0</v>
      </c>
      <c r="D57" s="1">
        <v>0</v>
      </c>
      <c r="E57" s="1">
        <v>0</v>
      </c>
      <c r="F57" s="69"/>
      <c r="G57" s="69"/>
      <c r="H57" s="78"/>
      <c r="I57" s="49">
        <v>2029</v>
      </c>
      <c r="J57" s="1">
        <v>0</v>
      </c>
      <c r="K57" s="1">
        <v>0</v>
      </c>
      <c r="L57" s="1">
        <v>0</v>
      </c>
      <c r="O57" s="78"/>
      <c r="P57" s="49">
        <v>2029</v>
      </c>
      <c r="Q57" s="1">
        <v>0</v>
      </c>
      <c r="R57" s="1">
        <v>0</v>
      </c>
      <c r="S57" s="1">
        <v>0</v>
      </c>
      <c r="T57" s="69"/>
    </row>
    <row r="58" spans="1:20" s="56" customFormat="1" x14ac:dyDescent="0.25">
      <c r="A58" s="78"/>
      <c r="B58" s="49">
        <v>2030</v>
      </c>
      <c r="C58" s="1">
        <v>0</v>
      </c>
      <c r="D58" s="1">
        <v>0</v>
      </c>
      <c r="E58" s="1">
        <v>0</v>
      </c>
      <c r="F58" s="69"/>
      <c r="G58" s="69"/>
      <c r="H58" s="78"/>
      <c r="I58" s="49">
        <v>2030</v>
      </c>
      <c r="J58" s="1">
        <v>0</v>
      </c>
      <c r="K58" s="1">
        <v>0</v>
      </c>
      <c r="L58" s="1">
        <v>0</v>
      </c>
      <c r="O58" s="78"/>
      <c r="P58" s="49">
        <v>2030</v>
      </c>
      <c r="Q58" s="1">
        <v>0</v>
      </c>
      <c r="R58" s="1">
        <v>0</v>
      </c>
      <c r="S58" s="1">
        <v>0</v>
      </c>
      <c r="T58" s="69"/>
    </row>
    <row r="59" spans="1:20" s="56" customFormat="1" x14ac:dyDescent="0.25">
      <c r="A59" s="78"/>
      <c r="B59" s="49">
        <v>2031</v>
      </c>
      <c r="C59" s="1">
        <v>0</v>
      </c>
      <c r="D59" s="1">
        <v>0</v>
      </c>
      <c r="E59" s="1">
        <v>0</v>
      </c>
      <c r="F59" s="69"/>
      <c r="G59" s="69"/>
      <c r="H59" s="78"/>
      <c r="I59" s="49">
        <v>2031</v>
      </c>
      <c r="J59" s="1">
        <v>0</v>
      </c>
      <c r="K59" s="1">
        <v>0</v>
      </c>
      <c r="L59" s="1">
        <v>0</v>
      </c>
      <c r="O59" s="78"/>
      <c r="P59" s="49">
        <v>2031</v>
      </c>
      <c r="Q59" s="1">
        <v>0</v>
      </c>
      <c r="R59" s="1">
        <v>0</v>
      </c>
      <c r="S59" s="1">
        <v>0</v>
      </c>
      <c r="T59" s="69"/>
    </row>
    <row r="60" spans="1:20" s="56" customFormat="1" x14ac:dyDescent="0.25">
      <c r="A60" s="78"/>
      <c r="B60" s="49">
        <v>2032</v>
      </c>
      <c r="C60" s="1">
        <v>0</v>
      </c>
      <c r="D60" s="1">
        <v>0</v>
      </c>
      <c r="E60" s="1">
        <v>0</v>
      </c>
      <c r="F60" s="69"/>
      <c r="G60" s="69"/>
      <c r="H60" s="78"/>
      <c r="I60" s="49">
        <v>2032</v>
      </c>
      <c r="J60" s="1">
        <v>0</v>
      </c>
      <c r="K60" s="1">
        <v>0</v>
      </c>
      <c r="L60" s="1">
        <v>0</v>
      </c>
      <c r="O60" s="78"/>
      <c r="P60" s="49">
        <v>2032</v>
      </c>
      <c r="Q60" s="1">
        <v>0</v>
      </c>
      <c r="R60" s="1">
        <v>0</v>
      </c>
      <c r="S60" s="1">
        <v>0</v>
      </c>
      <c r="T60" s="69"/>
    </row>
    <row r="61" spans="1:20" s="56" customFormat="1" x14ac:dyDescent="0.25">
      <c r="A61" s="78"/>
      <c r="B61" s="49">
        <v>2033</v>
      </c>
      <c r="C61" s="1">
        <v>0</v>
      </c>
      <c r="D61" s="1">
        <v>0</v>
      </c>
      <c r="E61" s="1">
        <v>0</v>
      </c>
      <c r="F61" s="69"/>
      <c r="G61" s="69"/>
      <c r="H61" s="78"/>
      <c r="I61" s="49">
        <v>2033</v>
      </c>
      <c r="J61" s="1">
        <v>0</v>
      </c>
      <c r="K61" s="1">
        <v>0</v>
      </c>
      <c r="L61" s="1">
        <v>0</v>
      </c>
      <c r="O61" s="78"/>
      <c r="P61" s="49">
        <v>2033</v>
      </c>
      <c r="Q61" s="1">
        <v>0</v>
      </c>
      <c r="R61" s="1">
        <v>0</v>
      </c>
      <c r="S61" s="1">
        <v>0</v>
      </c>
      <c r="T61" s="69"/>
    </row>
    <row r="62" spans="1:20" s="56" customFormat="1" x14ac:dyDescent="0.25">
      <c r="A62" s="78"/>
      <c r="B62" s="49">
        <v>2034</v>
      </c>
      <c r="C62" s="1">
        <v>0</v>
      </c>
      <c r="D62" s="1">
        <v>0</v>
      </c>
      <c r="E62" s="1">
        <v>0</v>
      </c>
      <c r="F62" s="69"/>
      <c r="G62" s="69"/>
      <c r="H62" s="78"/>
      <c r="I62" s="49">
        <v>2034</v>
      </c>
      <c r="J62" s="1">
        <v>0</v>
      </c>
      <c r="K62" s="1">
        <v>0</v>
      </c>
      <c r="L62" s="1">
        <v>0</v>
      </c>
      <c r="O62" s="78"/>
      <c r="P62" s="49">
        <v>2034</v>
      </c>
      <c r="Q62" s="1">
        <v>0</v>
      </c>
      <c r="R62" s="1">
        <v>0</v>
      </c>
      <c r="S62" s="1">
        <v>0</v>
      </c>
      <c r="T62" s="69"/>
    </row>
    <row r="63" spans="1:20" s="56" customFormat="1" x14ac:dyDescent="0.25">
      <c r="A63" s="78"/>
      <c r="B63" s="49">
        <v>2035</v>
      </c>
      <c r="C63" s="1">
        <v>0</v>
      </c>
      <c r="D63" s="1">
        <v>0</v>
      </c>
      <c r="E63" s="1">
        <v>0</v>
      </c>
      <c r="F63" s="69"/>
      <c r="G63" s="69"/>
      <c r="H63" s="78"/>
      <c r="I63" s="49">
        <v>2035</v>
      </c>
      <c r="J63" s="1">
        <v>0</v>
      </c>
      <c r="K63" s="1">
        <v>0</v>
      </c>
      <c r="L63" s="1">
        <v>0</v>
      </c>
      <c r="O63" s="78"/>
      <c r="P63" s="49">
        <v>2035</v>
      </c>
      <c r="Q63" s="1">
        <v>0</v>
      </c>
      <c r="R63" s="1">
        <v>0</v>
      </c>
      <c r="S63" s="1">
        <v>0</v>
      </c>
      <c r="T63" s="69"/>
    </row>
    <row r="64" spans="1:20" s="56" customFormat="1" x14ac:dyDescent="0.25">
      <c r="A64" s="78"/>
      <c r="B64" s="49">
        <v>2036</v>
      </c>
      <c r="C64" s="1">
        <v>0</v>
      </c>
      <c r="D64" s="1">
        <v>0</v>
      </c>
      <c r="E64" s="1">
        <v>0</v>
      </c>
      <c r="F64" s="69"/>
      <c r="G64" s="69"/>
      <c r="H64" s="78"/>
      <c r="I64" s="49">
        <v>2036</v>
      </c>
      <c r="J64" s="1">
        <v>0</v>
      </c>
      <c r="K64" s="1">
        <v>0</v>
      </c>
      <c r="L64" s="1">
        <v>0</v>
      </c>
      <c r="O64" s="78"/>
      <c r="P64" s="49">
        <v>2036</v>
      </c>
      <c r="Q64" s="1">
        <v>0</v>
      </c>
      <c r="R64" s="1">
        <v>0</v>
      </c>
      <c r="S64" s="1">
        <v>0</v>
      </c>
      <c r="T64" s="69"/>
    </row>
    <row r="65" spans="1:20" s="56" customFormat="1" x14ac:dyDescent="0.25">
      <c r="A65" s="78"/>
      <c r="B65" s="49">
        <v>2037</v>
      </c>
      <c r="C65" s="1">
        <v>0</v>
      </c>
      <c r="D65" s="1">
        <v>0</v>
      </c>
      <c r="E65" s="1">
        <v>0</v>
      </c>
      <c r="F65" s="69"/>
      <c r="G65" s="69"/>
      <c r="H65" s="78"/>
      <c r="I65" s="49">
        <v>2037</v>
      </c>
      <c r="J65" s="1">
        <v>0</v>
      </c>
      <c r="K65" s="1">
        <v>0</v>
      </c>
      <c r="L65" s="1">
        <v>0</v>
      </c>
      <c r="O65" s="78"/>
      <c r="P65" s="49">
        <v>2037</v>
      </c>
      <c r="Q65" s="1">
        <v>0</v>
      </c>
      <c r="R65" s="1">
        <v>0</v>
      </c>
      <c r="S65" s="1">
        <v>0</v>
      </c>
      <c r="T65" s="69"/>
    </row>
    <row r="66" spans="1:20" s="56" customFormat="1" x14ac:dyDescent="0.25">
      <c r="A66" s="78"/>
      <c r="B66" s="49">
        <v>2038</v>
      </c>
      <c r="C66" s="1">
        <v>0</v>
      </c>
      <c r="D66" s="1">
        <v>0</v>
      </c>
      <c r="E66" s="1">
        <v>0</v>
      </c>
      <c r="F66" s="69"/>
      <c r="G66" s="69"/>
      <c r="H66" s="78"/>
      <c r="I66" s="49">
        <v>2038</v>
      </c>
      <c r="J66" s="1">
        <v>0</v>
      </c>
      <c r="K66" s="1">
        <v>0</v>
      </c>
      <c r="L66" s="1">
        <v>0</v>
      </c>
      <c r="O66" s="78"/>
      <c r="P66" s="49">
        <v>2038</v>
      </c>
      <c r="Q66" s="1">
        <v>0</v>
      </c>
      <c r="R66" s="1">
        <v>0</v>
      </c>
      <c r="S66" s="1">
        <v>0</v>
      </c>
      <c r="T66" s="69"/>
    </row>
    <row r="67" spans="1:20" s="56" customFormat="1" x14ac:dyDescent="0.25">
      <c r="A67" s="78"/>
      <c r="B67" s="49">
        <v>2039</v>
      </c>
      <c r="C67" s="1">
        <v>0</v>
      </c>
      <c r="D67" s="1">
        <v>0</v>
      </c>
      <c r="E67" s="1">
        <v>0</v>
      </c>
      <c r="F67" s="69"/>
      <c r="G67" s="69"/>
      <c r="H67" s="78"/>
      <c r="I67" s="49">
        <v>2039</v>
      </c>
      <c r="J67" s="1">
        <v>0</v>
      </c>
      <c r="K67" s="1">
        <v>0</v>
      </c>
      <c r="L67" s="1">
        <v>0</v>
      </c>
      <c r="O67" s="78"/>
      <c r="P67" s="49">
        <v>2039</v>
      </c>
      <c r="Q67" s="1">
        <v>0</v>
      </c>
      <c r="R67" s="1">
        <v>0</v>
      </c>
      <c r="S67" s="1">
        <v>0</v>
      </c>
      <c r="T67" s="69"/>
    </row>
    <row r="68" spans="1:20" s="56" customFormat="1" x14ac:dyDescent="0.25">
      <c r="A68" s="79"/>
      <c r="B68" s="49">
        <v>2040</v>
      </c>
      <c r="C68" s="1">
        <v>0</v>
      </c>
      <c r="D68" s="1">
        <v>0</v>
      </c>
      <c r="E68" s="1">
        <v>0</v>
      </c>
      <c r="F68" s="69"/>
      <c r="G68" s="69"/>
      <c r="H68" s="79"/>
      <c r="I68" s="49">
        <v>2040</v>
      </c>
      <c r="J68" s="1">
        <v>0</v>
      </c>
      <c r="K68" s="1">
        <v>0</v>
      </c>
      <c r="L68" s="1">
        <v>0</v>
      </c>
      <c r="O68" s="79"/>
      <c r="P68" s="49">
        <v>2040</v>
      </c>
      <c r="Q68" s="1">
        <v>0</v>
      </c>
      <c r="R68" s="1">
        <v>0</v>
      </c>
      <c r="S68" s="1">
        <v>0</v>
      </c>
      <c r="T68" s="69"/>
    </row>
    <row r="69" spans="1:20" s="56" customFormat="1" x14ac:dyDescent="0.25">
      <c r="A69" s="40"/>
      <c r="B69" s="57"/>
      <c r="C69" s="3"/>
      <c r="D69" s="3"/>
      <c r="E69" s="3"/>
      <c r="F69" s="69"/>
      <c r="G69" s="69"/>
      <c r="H69" s="40"/>
      <c r="I69" s="57"/>
      <c r="J69" s="3"/>
      <c r="K69" s="3"/>
      <c r="L69" s="3"/>
      <c r="O69" s="40"/>
      <c r="P69" s="57"/>
      <c r="Q69" s="3"/>
      <c r="R69" s="3"/>
      <c r="S69" s="3"/>
      <c r="T69" s="69"/>
    </row>
    <row r="70" spans="1:20" s="69" customFormat="1" x14ac:dyDescent="0.25">
      <c r="A70" s="64" t="s">
        <v>64</v>
      </c>
      <c r="B70" s="57"/>
      <c r="C70" s="3"/>
      <c r="D70" s="3"/>
      <c r="E70" s="3"/>
      <c r="H70" s="64"/>
      <c r="I70" s="57"/>
      <c r="J70" s="3"/>
      <c r="K70" s="3"/>
      <c r="L70" s="3"/>
    </row>
    <row r="71" spans="1:20" s="69" customFormat="1" x14ac:dyDescent="0.25">
      <c r="A71" s="44" t="str">
        <f>B6</f>
        <v>Neutral noIC</v>
      </c>
      <c r="B71" s="44"/>
      <c r="C71" s="65">
        <f>NPV($B$2,C73:C86)</f>
        <v>339787.0709082773</v>
      </c>
      <c r="E71" s="38"/>
      <c r="H71" s="44" t="str">
        <f>C6</f>
        <v>Commitited gens</v>
      </c>
      <c r="I71" s="44"/>
      <c r="J71" s="65">
        <f>NPV($B$2,J73:J86)</f>
        <v>6511.1567061002324</v>
      </c>
      <c r="L71" s="38"/>
      <c r="O71" s="44" t="str">
        <f>A12</f>
        <v>Early coal retirement</v>
      </c>
      <c r="P71" s="44"/>
      <c r="Q71" s="65">
        <f>NPV($B$2,Q73:Q86)</f>
        <v>262308.57251612371</v>
      </c>
    </row>
    <row r="72" spans="1:20" s="69" customFormat="1" x14ac:dyDescent="0.25">
      <c r="A72" s="12" t="s">
        <v>0</v>
      </c>
      <c r="B72" s="12" t="s">
        <v>1</v>
      </c>
      <c r="C72" s="12" t="s">
        <v>4</v>
      </c>
      <c r="D72" s="70"/>
      <c r="E72" s="57"/>
      <c r="F72" s="70"/>
      <c r="H72" s="12" t="s">
        <v>0</v>
      </c>
      <c r="I72" s="12" t="s">
        <v>1</v>
      </c>
      <c r="J72" s="12" t="s">
        <v>4</v>
      </c>
      <c r="K72" s="70"/>
      <c r="L72" s="57"/>
      <c r="M72" s="70"/>
      <c r="O72" s="12" t="s">
        <v>0</v>
      </c>
      <c r="P72" s="12" t="s">
        <v>1</v>
      </c>
      <c r="Q72" s="12" t="s">
        <v>4</v>
      </c>
    </row>
    <row r="73" spans="1:20" s="69" customFormat="1" x14ac:dyDescent="0.25">
      <c r="A73" s="76" t="s">
        <v>9</v>
      </c>
      <c r="B73" s="49">
        <v>2020</v>
      </c>
      <c r="C73" s="1">
        <v>-3818.2206315519807</v>
      </c>
      <c r="D73" s="58"/>
      <c r="E73" s="3"/>
      <c r="F73" s="58"/>
      <c r="H73" s="76" t="s">
        <v>9</v>
      </c>
      <c r="I73" s="49">
        <v>2020</v>
      </c>
      <c r="J73" s="1">
        <v>-3818.2206315520089</v>
      </c>
      <c r="K73" s="58"/>
      <c r="L73" s="3"/>
      <c r="M73" s="58"/>
      <c r="O73" s="76" t="s">
        <v>9</v>
      </c>
      <c r="P73" s="49">
        <v>2020</v>
      </c>
      <c r="Q73" s="1">
        <v>-3852.208726500578</v>
      </c>
    </row>
    <row r="74" spans="1:20" s="69" customFormat="1" x14ac:dyDescent="0.25">
      <c r="A74" s="76"/>
      <c r="B74" s="49">
        <v>2021</v>
      </c>
      <c r="C74" s="1">
        <v>21353.461754340686</v>
      </c>
      <c r="D74" s="45"/>
      <c r="E74" s="3"/>
      <c r="F74" s="45"/>
      <c r="H74" s="76"/>
      <c r="I74" s="49">
        <v>2021</v>
      </c>
      <c r="J74" s="1">
        <v>-3818.2206315520089</v>
      </c>
      <c r="K74" s="45"/>
      <c r="L74" s="3"/>
      <c r="M74" s="45"/>
      <c r="O74" s="76"/>
      <c r="P74" s="49">
        <v>2021</v>
      </c>
      <c r="Q74" s="1">
        <v>21319.47365939209</v>
      </c>
    </row>
    <row r="75" spans="1:20" s="69" customFormat="1" x14ac:dyDescent="0.25">
      <c r="A75" s="76"/>
      <c r="B75" s="49">
        <v>2022</v>
      </c>
      <c r="C75" s="1">
        <v>39107.430227171906</v>
      </c>
      <c r="D75" s="45"/>
      <c r="E75" s="3"/>
      <c r="F75" s="45"/>
      <c r="H75" s="76"/>
      <c r="I75" s="49">
        <v>2022</v>
      </c>
      <c r="J75" s="1">
        <v>-3818.2206315520089</v>
      </c>
      <c r="K75" s="45"/>
      <c r="L75" s="3"/>
      <c r="M75" s="45"/>
      <c r="O75" s="76"/>
      <c r="P75" s="49">
        <v>2022</v>
      </c>
      <c r="Q75" s="1">
        <v>39073.442132223303</v>
      </c>
    </row>
    <row r="76" spans="1:20" s="69" customFormat="1" x14ac:dyDescent="0.25">
      <c r="A76" s="76"/>
      <c r="B76" s="49">
        <v>2023</v>
      </c>
      <c r="C76" s="1">
        <v>92916.99229363905</v>
      </c>
      <c r="D76" s="68"/>
      <c r="E76" s="3"/>
      <c r="F76" s="68"/>
      <c r="H76" s="76"/>
      <c r="I76" s="49">
        <v>2023</v>
      </c>
      <c r="J76" s="1">
        <v>-17387.366995531778</v>
      </c>
      <c r="K76" s="68"/>
      <c r="L76" s="3"/>
      <c r="M76" s="68"/>
      <c r="O76" s="76"/>
      <c r="P76" s="49">
        <v>2023</v>
      </c>
      <c r="Q76" s="1">
        <v>92988.358943066196</v>
      </c>
    </row>
    <row r="77" spans="1:20" s="69" customFormat="1" x14ac:dyDescent="0.25">
      <c r="A77" s="76"/>
      <c r="B77" s="49">
        <v>2024</v>
      </c>
      <c r="C77" s="1">
        <v>9899.760168110106</v>
      </c>
      <c r="E77" s="3"/>
      <c r="H77" s="76"/>
      <c r="I77" s="49">
        <v>2024</v>
      </c>
      <c r="J77" s="1">
        <v>-17387.366995531778</v>
      </c>
      <c r="L77" s="3"/>
      <c r="O77" s="76"/>
      <c r="P77" s="49">
        <v>2024</v>
      </c>
      <c r="Q77" s="1">
        <v>25100.167744978535</v>
      </c>
    </row>
    <row r="78" spans="1:20" s="69" customFormat="1" x14ac:dyDescent="0.25">
      <c r="A78" s="76"/>
      <c r="B78" s="49">
        <v>2025</v>
      </c>
      <c r="C78" s="1">
        <v>59306.780322415536</v>
      </c>
      <c r="E78" s="3"/>
      <c r="H78" s="76"/>
      <c r="I78" s="49">
        <v>2025</v>
      </c>
      <c r="J78" s="1">
        <v>29802.553640532835</v>
      </c>
      <c r="L78" s="3"/>
      <c r="O78" s="76"/>
      <c r="P78" s="49">
        <v>2025</v>
      </c>
      <c r="Q78" s="1">
        <v>23252.192830966349</v>
      </c>
    </row>
    <row r="79" spans="1:20" s="69" customFormat="1" x14ac:dyDescent="0.25">
      <c r="A79" s="76"/>
      <c r="B79" s="49">
        <v>2026</v>
      </c>
      <c r="C79" s="1">
        <v>50405.493790375433</v>
      </c>
      <c r="E79" s="3"/>
      <c r="H79" s="76"/>
      <c r="I79" s="49">
        <v>2026</v>
      </c>
      <c r="J79" s="1">
        <v>20901.267108492731</v>
      </c>
      <c r="L79" s="3"/>
      <c r="O79" s="76"/>
      <c r="P79" s="49">
        <v>2026</v>
      </c>
      <c r="Q79" s="1">
        <v>25768.732264175924</v>
      </c>
    </row>
    <row r="80" spans="1:20" s="69" customFormat="1" x14ac:dyDescent="0.25">
      <c r="A80" s="76"/>
      <c r="B80" s="49">
        <v>2027</v>
      </c>
      <c r="C80" s="1">
        <v>50435.62743414077</v>
      </c>
      <c r="E80" s="3"/>
      <c r="H80" s="76"/>
      <c r="I80" s="49">
        <v>2027</v>
      </c>
      <c r="J80" s="1">
        <v>20931.400752258014</v>
      </c>
      <c r="L80" s="3"/>
      <c r="O80" s="76"/>
      <c r="P80" s="49">
        <v>2027</v>
      </c>
      <c r="Q80" s="1">
        <v>25968.847493918474</v>
      </c>
    </row>
    <row r="81" spans="1:34" s="69" customFormat="1" x14ac:dyDescent="0.25">
      <c r="A81" s="76"/>
      <c r="B81" s="49">
        <v>2028</v>
      </c>
      <c r="C81" s="1">
        <v>50334.655582910957</v>
      </c>
      <c r="E81" s="3"/>
      <c r="H81" s="76"/>
      <c r="I81" s="49">
        <v>2028</v>
      </c>
      <c r="J81" s="1">
        <v>20830.428901028314</v>
      </c>
      <c r="L81" s="3"/>
      <c r="O81" s="76"/>
      <c r="P81" s="49">
        <v>2028</v>
      </c>
      <c r="Q81" s="1">
        <v>25970.129252064908</v>
      </c>
    </row>
    <row r="82" spans="1:34" s="69" customFormat="1" x14ac:dyDescent="0.25">
      <c r="A82" s="76"/>
      <c r="B82" s="49">
        <v>2029</v>
      </c>
      <c r="C82" s="1">
        <v>39034.93866868507</v>
      </c>
      <c r="E82" s="3"/>
      <c r="H82" s="76"/>
      <c r="I82" s="49">
        <v>2029</v>
      </c>
      <c r="J82" s="1">
        <v>9530.7119868025438</v>
      </c>
      <c r="L82" s="3"/>
      <c r="O82" s="76"/>
      <c r="P82" s="49">
        <v>2029</v>
      </c>
      <c r="Q82" s="1">
        <v>22195.937224442103</v>
      </c>
    </row>
    <row r="83" spans="1:34" s="69" customFormat="1" x14ac:dyDescent="0.25">
      <c r="A83" s="76"/>
      <c r="B83" s="49">
        <v>2030</v>
      </c>
      <c r="C83" s="1">
        <v>18123.379407871198</v>
      </c>
      <c r="E83" s="3"/>
      <c r="H83" s="76"/>
      <c r="I83" s="49">
        <v>2030</v>
      </c>
      <c r="J83" s="1">
        <v>-11380.847274011216</v>
      </c>
      <c r="L83" s="3"/>
      <c r="O83" s="76"/>
      <c r="P83" s="49">
        <v>2030</v>
      </c>
      <c r="Q83" s="1">
        <v>14194.282374997783</v>
      </c>
    </row>
    <row r="84" spans="1:34" s="69" customFormat="1" x14ac:dyDescent="0.25">
      <c r="A84" s="76"/>
      <c r="B84" s="49">
        <v>2031</v>
      </c>
      <c r="C84" s="1">
        <v>18123.379407871198</v>
      </c>
      <c r="E84" s="3"/>
      <c r="H84" s="76"/>
      <c r="I84" s="49">
        <v>2031</v>
      </c>
      <c r="J84" s="1">
        <v>-11380.847274011216</v>
      </c>
      <c r="L84" s="3"/>
      <c r="O84" s="76"/>
      <c r="P84" s="49">
        <v>2031</v>
      </c>
      <c r="Q84" s="1">
        <v>14194.282374997783</v>
      </c>
    </row>
    <row r="85" spans="1:34" s="69" customFormat="1" x14ac:dyDescent="0.25">
      <c r="A85" s="76"/>
      <c r="B85" s="49">
        <v>2032</v>
      </c>
      <c r="C85" s="1">
        <v>18134.847663496203</v>
      </c>
      <c r="E85" s="3"/>
      <c r="H85" s="76"/>
      <c r="I85" s="49">
        <v>2032</v>
      </c>
      <c r="J85" s="1">
        <v>-11369.379018386326</v>
      </c>
      <c r="L85" s="3"/>
      <c r="O85" s="76"/>
      <c r="P85" s="49">
        <v>2032</v>
      </c>
      <c r="Q85" s="1">
        <v>15381.645826268823</v>
      </c>
    </row>
    <row r="86" spans="1:34" s="69" customFormat="1" x14ac:dyDescent="0.25">
      <c r="A86" s="76"/>
      <c r="B86" s="49" t="s">
        <v>55</v>
      </c>
      <c r="C86" s="1">
        <v>56366.804993421967</v>
      </c>
      <c r="E86" s="3"/>
      <c r="H86" s="76"/>
      <c r="I86" s="49" t="s">
        <v>55</v>
      </c>
      <c r="J86" s="1">
        <v>-11824.456245069541</v>
      </c>
      <c r="L86" s="3"/>
      <c r="O86" s="76"/>
      <c r="P86" s="49" t="s">
        <v>55</v>
      </c>
      <c r="Q86" s="1">
        <v>50685.728774451491</v>
      </c>
    </row>
    <row r="87" spans="1:34" s="56" customFormat="1" x14ac:dyDescent="0.25">
      <c r="A87" s="40"/>
      <c r="B87" s="57"/>
      <c r="C87" s="3"/>
      <c r="D87" s="3"/>
      <c r="E87" s="3"/>
      <c r="F87" s="69"/>
      <c r="G87" s="69"/>
      <c r="H87" s="40"/>
      <c r="I87" s="57"/>
      <c r="J87" s="3"/>
      <c r="K87" s="3"/>
      <c r="L87" s="3"/>
      <c r="O87" s="40"/>
      <c r="P87" s="57"/>
      <c r="Q87" s="3"/>
      <c r="R87" s="3"/>
      <c r="S87" s="3"/>
      <c r="T87" s="69"/>
    </row>
    <row r="88" spans="1:34" x14ac:dyDescent="0.25">
      <c r="A88" s="7" t="s">
        <v>65</v>
      </c>
      <c r="B88" s="69"/>
      <c r="C88" s="69"/>
      <c r="D88" s="69"/>
      <c r="E88" s="69"/>
      <c r="F88" s="69"/>
      <c r="G88" s="69"/>
      <c r="H88" s="69"/>
      <c r="I88" s="69"/>
      <c r="O88" s="69"/>
      <c r="P88" s="69"/>
      <c r="Q88" s="69"/>
      <c r="R88" s="69"/>
      <c r="S88" s="69"/>
      <c r="T88" s="69"/>
      <c r="AC88" s="41"/>
      <c r="AD88" s="41"/>
      <c r="AE88" s="41"/>
      <c r="AF88" s="41"/>
      <c r="AG88" s="41"/>
      <c r="AH88" s="41"/>
    </row>
    <row r="89" spans="1:34" x14ac:dyDescent="0.25">
      <c r="A89" s="44" t="str">
        <f>B6</f>
        <v>Neutral noIC</v>
      </c>
      <c r="B89" s="44"/>
      <c r="C89" s="44"/>
      <c r="D89" s="44"/>
      <c r="E89" s="44"/>
      <c r="F89" s="49"/>
      <c r="G89" s="69"/>
      <c r="H89" s="44" t="str">
        <f>C6</f>
        <v>Commitited gens</v>
      </c>
      <c r="I89" s="44"/>
      <c r="J89" s="44"/>
      <c r="K89" s="44"/>
      <c r="L89" s="44"/>
      <c r="M89" s="42"/>
      <c r="O89" s="44" t="str">
        <f>A12</f>
        <v>Early coal retirement</v>
      </c>
      <c r="P89" s="44"/>
      <c r="Q89" s="44"/>
      <c r="R89" s="44"/>
      <c r="S89" s="44"/>
      <c r="T89" s="49"/>
      <c r="AC89" s="41"/>
      <c r="AD89" s="41"/>
      <c r="AE89" s="41"/>
      <c r="AF89" s="41"/>
      <c r="AG89" s="41"/>
      <c r="AH89" s="41"/>
    </row>
    <row r="90" spans="1:34" x14ac:dyDescent="0.25">
      <c r="A90" s="49" t="s">
        <v>1</v>
      </c>
      <c r="B90" s="44" t="s">
        <v>2</v>
      </c>
      <c r="C90" s="44" t="s">
        <v>16</v>
      </c>
      <c r="D90" s="44" t="s">
        <v>3</v>
      </c>
      <c r="E90" s="44" t="s">
        <v>17</v>
      </c>
      <c r="F90" s="44" t="s">
        <v>18</v>
      </c>
      <c r="G90" s="69"/>
      <c r="H90" s="49" t="s">
        <v>1</v>
      </c>
      <c r="I90" s="44" t="s">
        <v>2</v>
      </c>
      <c r="J90" s="44" t="s">
        <v>16</v>
      </c>
      <c r="K90" s="44" t="s">
        <v>3</v>
      </c>
      <c r="L90" s="44" t="s">
        <v>17</v>
      </c>
      <c r="M90" s="44" t="s">
        <v>18</v>
      </c>
      <c r="O90" s="49" t="s">
        <v>1</v>
      </c>
      <c r="P90" s="44" t="s">
        <v>2</v>
      </c>
      <c r="Q90" s="44" t="s">
        <v>16</v>
      </c>
      <c r="R90" s="44" t="s">
        <v>3</v>
      </c>
      <c r="S90" s="44" t="s">
        <v>17</v>
      </c>
      <c r="T90" s="44" t="s">
        <v>18</v>
      </c>
      <c r="AC90" s="41"/>
      <c r="AD90" s="41"/>
      <c r="AE90" s="41"/>
      <c r="AF90" s="41"/>
      <c r="AG90" s="41"/>
      <c r="AH90" s="41"/>
    </row>
    <row r="91" spans="1:34" x14ac:dyDescent="0.25">
      <c r="A91" s="49">
        <v>2020</v>
      </c>
      <c r="B91" s="44">
        <v>5264.3525653302204</v>
      </c>
      <c r="C91" s="44">
        <v>895.82119601150043</v>
      </c>
      <c r="D91" s="44">
        <v>1603.2573464087327</v>
      </c>
      <c r="E91" s="44">
        <v>0.7072036569006741</v>
      </c>
      <c r="F91" s="44">
        <v>1195.5707389265881</v>
      </c>
      <c r="G91" s="69"/>
      <c r="H91" s="49">
        <v>2020</v>
      </c>
      <c r="I91" s="44">
        <v>5276.4281508913264</v>
      </c>
      <c r="J91" s="44">
        <v>1402.7194619127549</v>
      </c>
      <c r="K91" s="44">
        <v>1279.156033870473</v>
      </c>
      <c r="L91" s="44">
        <v>0.69507433973922161</v>
      </c>
      <c r="M91" s="44">
        <v>907.18418066360755</v>
      </c>
      <c r="O91" s="49">
        <v>2020</v>
      </c>
      <c r="P91" s="44">
        <v>4711.17627545081</v>
      </c>
      <c r="Q91" s="44">
        <v>2898.2160753550152</v>
      </c>
      <c r="R91" s="44">
        <v>561.81996571887873</v>
      </c>
      <c r="S91" s="44">
        <v>-0.19682525898776429</v>
      </c>
      <c r="T91" s="44">
        <v>325.09347407040451</v>
      </c>
      <c r="AC91" s="41"/>
      <c r="AD91" s="41"/>
      <c r="AE91" s="41"/>
      <c r="AF91" s="41"/>
      <c r="AG91" s="41"/>
      <c r="AH91" s="41"/>
    </row>
    <row r="92" spans="1:34" x14ac:dyDescent="0.25">
      <c r="A92" s="49">
        <v>2021</v>
      </c>
      <c r="B92" s="49">
        <v>-1237.3347555145156</v>
      </c>
      <c r="C92" s="49">
        <v>-1326.5353035335429</v>
      </c>
      <c r="D92" s="49">
        <v>496.27379778929753</v>
      </c>
      <c r="E92" s="49">
        <v>-4.608376454176323</v>
      </c>
      <c r="F92" s="49">
        <v>371.4553755261004</v>
      </c>
      <c r="G92" s="69"/>
      <c r="H92" s="49">
        <v>2021</v>
      </c>
      <c r="I92" s="49">
        <v>4062.8881691945717</v>
      </c>
      <c r="J92" s="49">
        <v>1946.5040518322494</v>
      </c>
      <c r="K92" s="49">
        <v>1155.6759186535492</v>
      </c>
      <c r="L92" s="49">
        <v>0.68864401029713918</v>
      </c>
      <c r="M92" s="49">
        <v>1094.8924213423743</v>
      </c>
      <c r="O92" s="49">
        <v>2021</v>
      </c>
      <c r="P92" s="49">
        <v>-457.55948370184655</v>
      </c>
      <c r="Q92" s="49">
        <v>-1328.8691824422899</v>
      </c>
      <c r="R92" s="49">
        <v>-120.41258345786959</v>
      </c>
      <c r="S92" s="49">
        <v>-1.3763394921741439</v>
      </c>
      <c r="T92" s="49">
        <v>50.132122963338709</v>
      </c>
      <c r="AC92" s="41"/>
      <c r="AD92" s="41"/>
      <c r="AE92" s="41"/>
      <c r="AF92" s="41"/>
      <c r="AG92" s="41"/>
      <c r="AH92" s="41"/>
    </row>
    <row r="93" spans="1:34" x14ac:dyDescent="0.25">
      <c r="A93" s="49">
        <v>2022</v>
      </c>
      <c r="B93" s="49">
        <v>-5157.3717648889869</v>
      </c>
      <c r="C93" s="49">
        <v>-2316.9669204838574</v>
      </c>
      <c r="D93" s="49">
        <v>-1518.6750041148625</v>
      </c>
      <c r="E93" s="49">
        <v>7.309969414731313</v>
      </c>
      <c r="F93" s="49">
        <v>-163.07946931105107</v>
      </c>
      <c r="G93" s="69"/>
      <c r="H93" s="49">
        <v>2022</v>
      </c>
      <c r="I93" s="49">
        <v>3807.4546893215738</v>
      </c>
      <c r="J93" s="49">
        <v>3241.9666906602215</v>
      </c>
      <c r="K93" s="49">
        <v>1663.3001679860172</v>
      </c>
      <c r="L93" s="49">
        <v>1.9016200873156777</v>
      </c>
      <c r="M93" s="49">
        <v>1051.7207731396775</v>
      </c>
      <c r="O93" s="49">
        <v>2022</v>
      </c>
      <c r="P93" s="49">
        <v>-4288.9682889518062</v>
      </c>
      <c r="Q93" s="49">
        <v>-2376.6708141961089</v>
      </c>
      <c r="R93" s="49">
        <v>-657.02000892830006</v>
      </c>
      <c r="S93" s="49">
        <v>3.1112134696448561</v>
      </c>
      <c r="T93" s="49">
        <v>-317.58091343227494</v>
      </c>
      <c r="AC93" s="41"/>
      <c r="AD93" s="41"/>
      <c r="AE93" s="41"/>
      <c r="AF93" s="41"/>
      <c r="AG93" s="41"/>
      <c r="AH93" s="41"/>
    </row>
    <row r="94" spans="1:34" x14ac:dyDescent="0.25">
      <c r="A94" s="49">
        <v>2023</v>
      </c>
      <c r="B94" s="49">
        <v>-17158.117952911183</v>
      </c>
      <c r="C94" s="49">
        <v>-13516.334031629143</v>
      </c>
      <c r="D94" s="49">
        <v>-5959.3126595789217</v>
      </c>
      <c r="E94" s="49">
        <v>-21.91721261775092</v>
      </c>
      <c r="F94" s="49">
        <v>-7262.0871551067103</v>
      </c>
      <c r="G94" s="69"/>
      <c r="H94" s="49">
        <v>2023</v>
      </c>
      <c r="I94" s="49">
        <v>12794.331674875924</v>
      </c>
      <c r="J94" s="49">
        <v>7832.2508314014412</v>
      </c>
      <c r="K94" s="49">
        <v>3687.0393460800988</v>
      </c>
      <c r="L94" s="49">
        <v>59.598363320488716</v>
      </c>
      <c r="M94" s="49">
        <v>1141.3044173295493</v>
      </c>
      <c r="O94" s="49">
        <v>2023</v>
      </c>
      <c r="P94" s="49">
        <v>-24415.415102183597</v>
      </c>
      <c r="Q94" s="49">
        <v>-17569.254174179165</v>
      </c>
      <c r="R94" s="49">
        <v>-5611.093036936014</v>
      </c>
      <c r="S94" s="49">
        <v>4.9838593199772667</v>
      </c>
      <c r="T94" s="49">
        <v>-2873.466745293927</v>
      </c>
      <c r="AC94" s="41"/>
      <c r="AD94" s="41"/>
      <c r="AE94" s="41"/>
      <c r="AF94" s="41"/>
      <c r="AG94" s="41"/>
      <c r="AH94" s="41"/>
    </row>
    <row r="95" spans="1:34" x14ac:dyDescent="0.25">
      <c r="A95" s="49">
        <v>2024</v>
      </c>
      <c r="B95" s="49">
        <v>6285.6870290255174</v>
      </c>
      <c r="C95" s="49">
        <v>2216.7877687041182</v>
      </c>
      <c r="D95" s="49">
        <v>216.36984959355323</v>
      </c>
      <c r="E95" s="49">
        <v>1.1332412791525712</v>
      </c>
      <c r="F95" s="49">
        <v>-444.27283442748012</v>
      </c>
      <c r="G95" s="69"/>
      <c r="H95" s="49">
        <v>2024</v>
      </c>
      <c r="I95" s="49">
        <v>12129.605741428444</v>
      </c>
      <c r="J95" s="49">
        <v>6976.9100994733162</v>
      </c>
      <c r="K95" s="49">
        <v>1791.5075213515083</v>
      </c>
      <c r="L95" s="49">
        <v>14.833377971088339</v>
      </c>
      <c r="M95" s="49">
        <v>1323.8336291640298</v>
      </c>
      <c r="O95" s="49">
        <v>2024</v>
      </c>
      <c r="P95" s="49">
        <v>1833.1506973280555</v>
      </c>
      <c r="Q95" s="49">
        <v>3218.2160913977095</v>
      </c>
      <c r="R95" s="49">
        <v>-1275.6419324817505</v>
      </c>
      <c r="S95" s="49">
        <v>46.956249089520519</v>
      </c>
      <c r="T95" s="49">
        <v>-79.064283211487208</v>
      </c>
      <c r="AC95" s="41"/>
      <c r="AD95" s="41"/>
      <c r="AE95" s="41"/>
      <c r="AF95" s="41"/>
      <c r="AG95" s="41"/>
      <c r="AH95" s="41"/>
    </row>
    <row r="96" spans="1:34" x14ac:dyDescent="0.25">
      <c r="A96" s="49">
        <v>2025</v>
      </c>
      <c r="B96" s="49">
        <v>-3004.6904081192333</v>
      </c>
      <c r="C96" s="49">
        <v>-2508.8463967195712</v>
      </c>
      <c r="D96" s="49">
        <v>-18484.818230949546</v>
      </c>
      <c r="E96" s="49">
        <v>-5.795709002399235</v>
      </c>
      <c r="F96" s="49">
        <v>-833.61646684794687</v>
      </c>
      <c r="G96" s="69"/>
      <c r="H96" s="49">
        <v>2025</v>
      </c>
      <c r="I96" s="49">
        <v>-3468.7991567389108</v>
      </c>
      <c r="J96" s="49">
        <v>174.35961076966487</v>
      </c>
      <c r="K96" s="49">
        <v>-1637.5071980093344</v>
      </c>
      <c r="L96" s="49">
        <v>-5.7786717145572766</v>
      </c>
      <c r="M96" s="49">
        <v>-2508.7998429988511</v>
      </c>
      <c r="O96" s="49">
        <v>2025</v>
      </c>
      <c r="P96" s="49">
        <v>4296.5088822410717</v>
      </c>
      <c r="Q96" s="49">
        <v>3168.0628580675047</v>
      </c>
      <c r="R96" s="49">
        <v>101.92016243406512</v>
      </c>
      <c r="S96" s="49">
        <v>180.6615752122753</v>
      </c>
      <c r="T96" s="49">
        <v>-818.1556777001822</v>
      </c>
      <c r="AC96" s="41"/>
      <c r="AD96" s="41"/>
      <c r="AE96" s="41"/>
      <c r="AF96" s="41"/>
      <c r="AG96" s="41"/>
      <c r="AH96" s="41"/>
    </row>
    <row r="97" spans="1:34" x14ac:dyDescent="0.25">
      <c r="A97" s="49">
        <v>2026</v>
      </c>
      <c r="B97" s="49">
        <v>3923.7104849086609</v>
      </c>
      <c r="C97" s="49">
        <v>-4051.5342915121</v>
      </c>
      <c r="D97" s="49">
        <v>-8827.1808429051598</v>
      </c>
      <c r="E97" s="49">
        <v>-2.1629875913276919</v>
      </c>
      <c r="F97" s="49">
        <v>-1456.364779868687</v>
      </c>
      <c r="G97" s="69"/>
      <c r="H97" s="49">
        <v>2026</v>
      </c>
      <c r="I97" s="49">
        <v>7738.1816820639651</v>
      </c>
      <c r="J97" s="49">
        <v>2974.671634652419</v>
      </c>
      <c r="K97" s="49">
        <v>946.68074858140608</v>
      </c>
      <c r="L97" s="49">
        <v>-82.737017085324624</v>
      </c>
      <c r="M97" s="49">
        <v>-593.66207157273311</v>
      </c>
      <c r="O97" s="49">
        <v>2026</v>
      </c>
      <c r="P97" s="49">
        <v>2401.9932616096435</v>
      </c>
      <c r="Q97" s="49">
        <v>2632.2843468319847</v>
      </c>
      <c r="R97" s="49">
        <v>-937.52853445093911</v>
      </c>
      <c r="S97" s="49">
        <v>-14.739045947698811</v>
      </c>
      <c r="T97" s="49">
        <v>-648.82123346726814</v>
      </c>
      <c r="AC97" s="41"/>
      <c r="AD97" s="41"/>
      <c r="AE97" s="41"/>
      <c r="AF97" s="41"/>
      <c r="AG97" s="41"/>
      <c r="AH97" s="41"/>
    </row>
    <row r="98" spans="1:34" x14ac:dyDescent="0.25">
      <c r="A98" s="49">
        <v>2027</v>
      </c>
      <c r="B98" s="49">
        <v>3301.2101573378313</v>
      </c>
      <c r="C98" s="49">
        <v>-2020.0909623447806</v>
      </c>
      <c r="D98" s="49">
        <v>-6869.1698989360593</v>
      </c>
      <c r="E98" s="49">
        <v>2.4515249600081006</v>
      </c>
      <c r="F98" s="49">
        <v>-391.30785172554897</v>
      </c>
      <c r="G98" s="69"/>
      <c r="H98" s="49">
        <v>2027</v>
      </c>
      <c r="I98" s="49">
        <v>6320.3122339090332</v>
      </c>
      <c r="J98" s="49">
        <v>377.25404738052748</v>
      </c>
      <c r="K98" s="49">
        <v>914.2068069971283</v>
      </c>
      <c r="L98" s="49">
        <v>3.9183080369693926</v>
      </c>
      <c r="M98" s="49">
        <v>-160.09477588214213</v>
      </c>
      <c r="O98" s="49">
        <v>2027</v>
      </c>
      <c r="P98" s="49">
        <v>3769.2449656848989</v>
      </c>
      <c r="Q98" s="49">
        <v>-1207.3353647857712</v>
      </c>
      <c r="R98" s="49">
        <v>-1316.8571517963824</v>
      </c>
      <c r="S98" s="49">
        <v>36.513208481400049</v>
      </c>
      <c r="T98" s="49">
        <v>-425.06413540352071</v>
      </c>
      <c r="AC98" s="41"/>
      <c r="AD98" s="41"/>
      <c r="AE98" s="41"/>
      <c r="AF98" s="41"/>
      <c r="AG98" s="41"/>
      <c r="AH98" s="41"/>
    </row>
    <row r="99" spans="1:34" x14ac:dyDescent="0.25">
      <c r="A99" s="49">
        <v>2028</v>
      </c>
      <c r="B99" s="49">
        <v>5226.5570186548866</v>
      </c>
      <c r="C99" s="49">
        <v>-2787.4243755699135</v>
      </c>
      <c r="D99" s="49">
        <v>-7413.5327783070388</v>
      </c>
      <c r="E99" s="49">
        <v>6.3235030397991068</v>
      </c>
      <c r="F99" s="49">
        <v>-1769.470079096558</v>
      </c>
      <c r="G99" s="69"/>
      <c r="H99" s="49">
        <v>2028</v>
      </c>
      <c r="I99" s="49">
        <v>8833.3807095964439</v>
      </c>
      <c r="J99" s="49">
        <v>1296.8200303455815</v>
      </c>
      <c r="K99" s="49">
        <v>104.96717947655998</v>
      </c>
      <c r="L99" s="49">
        <v>3.8919073811121052</v>
      </c>
      <c r="M99" s="49">
        <v>-989.3390202911105</v>
      </c>
      <c r="O99" s="49">
        <v>2028</v>
      </c>
      <c r="P99" s="49">
        <v>3125.0465755147552</v>
      </c>
      <c r="Q99" s="49">
        <v>159.99294307751822</v>
      </c>
      <c r="R99" s="49">
        <v>-2052.4261150312086</v>
      </c>
      <c r="S99" s="49">
        <v>40.667807064528603</v>
      </c>
      <c r="T99" s="49">
        <v>-2074.6090431112943</v>
      </c>
      <c r="AC99" s="41"/>
      <c r="AD99" s="41"/>
      <c r="AE99" s="41"/>
      <c r="AF99" s="41"/>
      <c r="AG99" s="41"/>
      <c r="AH99" s="41"/>
    </row>
    <row r="100" spans="1:34" x14ac:dyDescent="0.25">
      <c r="A100" s="49">
        <v>2029</v>
      </c>
      <c r="B100" s="49">
        <v>11181.544687627349</v>
      </c>
      <c r="C100" s="49">
        <v>2851.6393983706366</v>
      </c>
      <c r="D100" s="49">
        <v>-4403.3569173826545</v>
      </c>
      <c r="E100" s="49">
        <v>40.374586258709314</v>
      </c>
      <c r="F100" s="49">
        <v>-1163.5694784832885</v>
      </c>
      <c r="G100" s="69"/>
      <c r="H100" s="49">
        <v>2029</v>
      </c>
      <c r="I100" s="49">
        <v>16962.265035443706</v>
      </c>
      <c r="J100" s="49">
        <v>1156.412014428759</v>
      </c>
      <c r="K100" s="49">
        <v>1676.5539033999958</v>
      </c>
      <c r="L100" s="49">
        <v>19819.961865554913</v>
      </c>
      <c r="M100" s="49">
        <v>-1343.3614678756567</v>
      </c>
      <c r="O100" s="49">
        <v>2029</v>
      </c>
      <c r="P100" s="49">
        <v>13568.414392611041</v>
      </c>
      <c r="Q100" s="49">
        <v>4338.6816097823403</v>
      </c>
      <c r="R100" s="49">
        <v>-1079.5476853591927</v>
      </c>
      <c r="S100" s="49">
        <v>-2.6160120565577825</v>
      </c>
      <c r="T100" s="49">
        <v>-14513.877191702853</v>
      </c>
      <c r="AC100" s="41"/>
      <c r="AD100" s="41"/>
      <c r="AE100" s="41"/>
      <c r="AF100" s="41"/>
      <c r="AG100" s="41"/>
      <c r="AH100" s="41"/>
    </row>
    <row r="101" spans="1:34" x14ac:dyDescent="0.25">
      <c r="A101" s="49">
        <v>2030</v>
      </c>
      <c r="B101" s="49">
        <v>11698.075177445309</v>
      </c>
      <c r="C101" s="49">
        <v>4285.401888121618</v>
      </c>
      <c r="D101" s="49">
        <v>-4809.6860015747661</v>
      </c>
      <c r="E101" s="49">
        <v>-7.4983568607203779</v>
      </c>
      <c r="F101" s="49">
        <v>-208.98095409694361</v>
      </c>
      <c r="G101" s="69"/>
      <c r="H101" s="49">
        <v>2030</v>
      </c>
      <c r="I101" s="49">
        <v>20160.288424999919</v>
      </c>
      <c r="J101" s="49">
        <v>4431.889744464308</v>
      </c>
      <c r="K101" s="49">
        <v>2504.1174133592576</v>
      </c>
      <c r="L101" s="49">
        <v>11134.808576315001</v>
      </c>
      <c r="M101" s="49">
        <v>69.597666512709111</v>
      </c>
      <c r="O101" s="49">
        <v>2030</v>
      </c>
      <c r="P101" s="49">
        <v>10792.070664898765</v>
      </c>
      <c r="Q101" s="49">
        <v>3894.9536753509665</v>
      </c>
      <c r="R101" s="49">
        <v>-23.850178927379162</v>
      </c>
      <c r="S101" s="49">
        <v>2.0127834158044142</v>
      </c>
      <c r="T101" s="49">
        <v>-1464.1102620617319</v>
      </c>
      <c r="AC101" s="41"/>
      <c r="AD101" s="41"/>
      <c r="AE101" s="41"/>
      <c r="AF101" s="41"/>
      <c r="AG101" s="41"/>
      <c r="AH101" s="41"/>
    </row>
    <row r="102" spans="1:34" x14ac:dyDescent="0.25">
      <c r="A102" s="49">
        <v>2031</v>
      </c>
      <c r="B102" s="49">
        <v>12513.49188198545</v>
      </c>
      <c r="C102" s="49">
        <v>3119.5207449933514</v>
      </c>
      <c r="D102" s="49">
        <v>-4394.7990298160003</v>
      </c>
      <c r="E102" s="49">
        <v>-8.4024974528729217</v>
      </c>
      <c r="F102" s="49">
        <v>-106.28534802724607</v>
      </c>
      <c r="G102" s="69"/>
      <c r="H102" s="49">
        <v>2031</v>
      </c>
      <c r="I102" s="49">
        <v>22003.378850863781</v>
      </c>
      <c r="J102" s="49">
        <v>8692.2071374831721</v>
      </c>
      <c r="K102" s="49">
        <v>3625.7760614950093</v>
      </c>
      <c r="L102" s="49">
        <v>5701.2036659036239</v>
      </c>
      <c r="M102" s="49">
        <v>-1438.538130414905</v>
      </c>
      <c r="O102" s="49">
        <v>2031</v>
      </c>
      <c r="P102" s="49">
        <v>13883.973635101038</v>
      </c>
      <c r="Q102" s="49">
        <v>5779.6974787068511</v>
      </c>
      <c r="R102" s="49">
        <v>-117.46709490899009</v>
      </c>
      <c r="S102" s="49">
        <v>68.646508874879657</v>
      </c>
      <c r="T102" s="49">
        <v>-4394.0901790071412</v>
      </c>
      <c r="AC102" s="41"/>
      <c r="AD102" s="41"/>
      <c r="AE102" s="41"/>
      <c r="AF102" s="41"/>
      <c r="AG102" s="41"/>
      <c r="AH102" s="41"/>
    </row>
    <row r="103" spans="1:34" x14ac:dyDescent="0.25">
      <c r="A103" s="49">
        <v>2032</v>
      </c>
      <c r="B103" s="49">
        <v>16308.886331409682</v>
      </c>
      <c r="C103" s="49">
        <v>6002.7939122139942</v>
      </c>
      <c r="D103" s="49">
        <v>-1614.2704880653473</v>
      </c>
      <c r="E103" s="49">
        <v>-3.6971591064939275</v>
      </c>
      <c r="F103" s="49">
        <v>-2595.7235617149272</v>
      </c>
      <c r="G103" s="69"/>
      <c r="H103" s="49">
        <v>2032</v>
      </c>
      <c r="I103" s="49">
        <v>20202.018932963256</v>
      </c>
      <c r="J103" s="49">
        <v>2214.808408485027</v>
      </c>
      <c r="K103" s="49">
        <v>1219.3819345246302</v>
      </c>
      <c r="L103" s="49">
        <v>16079.768442465531</v>
      </c>
      <c r="M103" s="49">
        <v>1322.5606472794316</v>
      </c>
      <c r="O103" s="49">
        <v>2032</v>
      </c>
      <c r="P103" s="49">
        <v>13225.442091912097</v>
      </c>
      <c r="Q103" s="49">
        <v>6590.9484095971502</v>
      </c>
      <c r="R103" s="49">
        <v>336.17528568772394</v>
      </c>
      <c r="S103" s="49">
        <v>-9.6370532851547388</v>
      </c>
      <c r="T103" s="49">
        <v>-7933.3549050550901</v>
      </c>
      <c r="AC103" s="41"/>
      <c r="AD103" s="41"/>
      <c r="AE103" s="41"/>
      <c r="AF103" s="41"/>
      <c r="AG103" s="41"/>
      <c r="AH103" s="41"/>
    </row>
    <row r="104" spans="1:34" x14ac:dyDescent="0.25">
      <c r="A104" s="49" t="s">
        <v>36</v>
      </c>
      <c r="B104" s="44">
        <f>AVERAGE(B101:B103)</f>
        <v>13506.817796946814</v>
      </c>
      <c r="C104" s="44">
        <f t="shared" ref="C104:E104" si="9">AVERAGE(C101:C103)</f>
        <v>4469.2388484429875</v>
      </c>
      <c r="D104" s="44">
        <f t="shared" si="9"/>
        <v>-3606.2518398187044</v>
      </c>
      <c r="E104" s="44">
        <f t="shared" si="9"/>
        <v>-6.532671140029076</v>
      </c>
      <c r="F104" s="44">
        <f>AVERAGE(F101:F103)</f>
        <v>-970.32995461303892</v>
      </c>
      <c r="G104" s="69"/>
      <c r="H104" s="49" t="s">
        <v>36</v>
      </c>
      <c r="I104" s="44">
        <f>AVERAGE(I101:I103)</f>
        <v>20788.562069608986</v>
      </c>
      <c r="J104" s="44">
        <f t="shared" ref="J104:L104" si="10">AVERAGE(J101:J103)</f>
        <v>5112.9684301441694</v>
      </c>
      <c r="K104" s="44">
        <f t="shared" si="10"/>
        <v>2449.7584697929656</v>
      </c>
      <c r="L104" s="44">
        <f t="shared" si="10"/>
        <v>10971.926894894719</v>
      </c>
      <c r="M104" s="44">
        <f>AVERAGE(M101:M103)</f>
        <v>-15.45993887425478</v>
      </c>
      <c r="O104" s="49" t="s">
        <v>36</v>
      </c>
      <c r="P104" s="44">
        <f>AVERAGE(P101:P103)</f>
        <v>12633.828797303968</v>
      </c>
      <c r="Q104" s="44">
        <f t="shared" ref="Q104:S104" si="11">AVERAGE(Q101:Q103)</f>
        <v>5421.8665212183223</v>
      </c>
      <c r="R104" s="44">
        <f t="shared" si="11"/>
        <v>64.95267061711823</v>
      </c>
      <c r="S104" s="44">
        <f t="shared" si="11"/>
        <v>20.340746335176448</v>
      </c>
      <c r="T104" s="44">
        <f>AVERAGE(T101:T103)</f>
        <v>-4597.1851153746547</v>
      </c>
      <c r="AC104" s="41"/>
      <c r="AD104" s="41"/>
      <c r="AE104" s="41"/>
      <c r="AF104" s="41"/>
      <c r="AG104" s="41"/>
      <c r="AH104" s="41"/>
    </row>
    <row r="105" spans="1:34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O105" s="69"/>
      <c r="P105" s="69"/>
      <c r="Q105" s="69"/>
      <c r="R105" s="69"/>
      <c r="S105" s="69"/>
      <c r="T105" s="69"/>
    </row>
    <row r="106" spans="1:34" s="69" customFormat="1" x14ac:dyDescent="0.25">
      <c r="A106" s="7" t="s">
        <v>66</v>
      </c>
    </row>
    <row r="107" spans="1:34" s="69" customFormat="1" x14ac:dyDescent="0.25">
      <c r="A107" s="44" t="str">
        <f>B6</f>
        <v>Neutral noIC</v>
      </c>
      <c r="B107" s="44"/>
      <c r="C107" s="44"/>
      <c r="D107" s="44"/>
      <c r="E107" s="44"/>
      <c r="F107" s="49"/>
      <c r="H107" s="44" t="str">
        <f>C6</f>
        <v>Commitited gens</v>
      </c>
      <c r="I107" s="44"/>
      <c r="J107" s="44"/>
      <c r="K107" s="44"/>
      <c r="L107" s="44"/>
      <c r="M107" s="49"/>
      <c r="O107" s="44" t="str">
        <f>A12</f>
        <v>Early coal retirement</v>
      </c>
      <c r="P107" s="44"/>
      <c r="Q107" s="44"/>
      <c r="R107" s="44"/>
      <c r="S107" s="44"/>
      <c r="T107" s="49"/>
    </row>
    <row r="108" spans="1:34" s="69" customFormat="1" x14ac:dyDescent="0.25">
      <c r="A108" s="49" t="s">
        <v>1</v>
      </c>
      <c r="B108" s="44" t="s">
        <v>2</v>
      </c>
      <c r="C108" s="44" t="s">
        <v>16</v>
      </c>
      <c r="D108" s="44" t="s">
        <v>3</v>
      </c>
      <c r="E108" s="44" t="s">
        <v>17</v>
      </c>
      <c r="F108" s="44" t="s">
        <v>18</v>
      </c>
      <c r="H108" s="49" t="s">
        <v>1</v>
      </c>
      <c r="I108" s="44" t="s">
        <v>2</v>
      </c>
      <c r="J108" s="44" t="s">
        <v>16</v>
      </c>
      <c r="K108" s="44" t="s">
        <v>3</v>
      </c>
      <c r="L108" s="44" t="s">
        <v>17</v>
      </c>
      <c r="M108" s="44" t="s">
        <v>18</v>
      </c>
      <c r="O108" s="49" t="s">
        <v>1</v>
      </c>
      <c r="P108" s="44" t="s">
        <v>2</v>
      </c>
      <c r="Q108" s="44" t="s">
        <v>16</v>
      </c>
      <c r="R108" s="44" t="s">
        <v>3</v>
      </c>
      <c r="S108" s="44" t="s">
        <v>17</v>
      </c>
      <c r="T108" s="44" t="s">
        <v>18</v>
      </c>
    </row>
    <row r="109" spans="1:34" s="69" customFormat="1" x14ac:dyDescent="0.25">
      <c r="A109" s="49">
        <v>2020</v>
      </c>
      <c r="B109" s="67">
        <v>1497.5931337159127</v>
      </c>
      <c r="C109" s="67">
        <v>89.936238004127517</v>
      </c>
      <c r="D109" s="67">
        <v>1639.4771535923355</v>
      </c>
      <c r="E109" s="67">
        <v>-0.44856298879312817</v>
      </c>
      <c r="F109" s="67">
        <v>269.67099084437359</v>
      </c>
      <c r="H109" s="49">
        <v>2020</v>
      </c>
      <c r="I109" s="67"/>
      <c r="J109" s="67"/>
      <c r="K109" s="67"/>
      <c r="L109" s="67"/>
      <c r="M109" s="67"/>
      <c r="O109" s="49">
        <v>2020</v>
      </c>
      <c r="P109" s="67">
        <v>721.98706150171347</v>
      </c>
      <c r="Q109" s="67">
        <v>961.3214714427013</v>
      </c>
      <c r="R109" s="67">
        <v>956.68423927057302</v>
      </c>
      <c r="S109" s="67">
        <v>-0.70674924275954254</v>
      </c>
      <c r="T109" s="67">
        <v>-52.78725194116123</v>
      </c>
    </row>
    <row r="110" spans="1:34" s="69" customFormat="1" x14ac:dyDescent="0.25">
      <c r="A110" s="49">
        <v>2021</v>
      </c>
      <c r="B110" s="67">
        <v>-4508.9709694611374</v>
      </c>
      <c r="C110" s="67">
        <v>-2069.8108855322935</v>
      </c>
      <c r="D110" s="67">
        <v>228.21734766080044</v>
      </c>
      <c r="E110" s="67">
        <v>-5.0532387882267358</v>
      </c>
      <c r="F110" s="67">
        <v>-774.94607218226884</v>
      </c>
      <c r="H110" s="49">
        <v>2021</v>
      </c>
      <c r="I110" s="67"/>
      <c r="J110" s="67"/>
      <c r="K110" s="67"/>
      <c r="L110" s="67"/>
      <c r="M110" s="67"/>
      <c r="O110" s="49">
        <v>2021</v>
      </c>
      <c r="P110" s="67">
        <v>-4391.2712046590168</v>
      </c>
      <c r="Q110" s="67">
        <v>-2748.1607633864041</v>
      </c>
      <c r="R110" s="67">
        <v>-51.795863853767514</v>
      </c>
      <c r="S110" s="67">
        <v>-1.3818363322934601</v>
      </c>
      <c r="T110" s="67">
        <v>-312.30602329742396</v>
      </c>
    </row>
    <row r="111" spans="1:34" s="69" customFormat="1" x14ac:dyDescent="0.25">
      <c r="A111" s="49">
        <v>2022</v>
      </c>
      <c r="B111" s="72">
        <v>-7802.2102520694025</v>
      </c>
      <c r="C111" s="72">
        <v>-4141.3333255690522</v>
      </c>
      <c r="D111" s="72">
        <v>-1326.3078669892857</v>
      </c>
      <c r="E111" s="72">
        <v>12.087638650475128</v>
      </c>
      <c r="F111" s="72">
        <v>-1204.7415441889316</v>
      </c>
      <c r="H111" s="49">
        <v>2022</v>
      </c>
      <c r="I111" s="72"/>
      <c r="J111" s="72"/>
      <c r="K111" s="72"/>
      <c r="L111" s="72"/>
      <c r="M111" s="72"/>
      <c r="O111" s="49">
        <v>2022</v>
      </c>
      <c r="P111" s="72">
        <v>-7953.6195127808023</v>
      </c>
      <c r="Q111" s="72">
        <v>-4796.1601283021737</v>
      </c>
      <c r="R111" s="72">
        <v>-770.05921800463693</v>
      </c>
      <c r="S111" s="72">
        <v>-3.876545470142446</v>
      </c>
      <c r="T111" s="72">
        <v>-706.82313815166708</v>
      </c>
    </row>
    <row r="112" spans="1:34" s="69" customFormat="1" x14ac:dyDescent="0.25">
      <c r="A112" s="49">
        <v>2023</v>
      </c>
      <c r="B112" s="67">
        <v>-20013.624885226367</v>
      </c>
      <c r="C112" s="67">
        <v>-15351.637121746084</v>
      </c>
      <c r="D112" s="67">
        <v>-6446.8513082761201</v>
      </c>
      <c r="E112" s="67">
        <v>-34.33678249528748</v>
      </c>
      <c r="F112" s="67">
        <v>-8621.0536672900198</v>
      </c>
      <c r="H112" s="49">
        <v>2023</v>
      </c>
      <c r="I112" s="67"/>
      <c r="J112" s="67"/>
      <c r="K112" s="67"/>
      <c r="L112" s="67"/>
      <c r="M112" s="67"/>
      <c r="O112" s="49">
        <v>2023</v>
      </c>
      <c r="P112" s="67">
        <v>-28842.170818286249</v>
      </c>
      <c r="Q112" s="67">
        <v>-20652.572390909074</v>
      </c>
      <c r="R112" s="67">
        <v>-5222.2570764058037</v>
      </c>
      <c r="S112" s="67">
        <v>6.188060002772545</v>
      </c>
      <c r="T112" s="67">
        <v>-4335.4211905968259</v>
      </c>
    </row>
    <row r="113" spans="1:34" s="69" customFormat="1" x14ac:dyDescent="0.25">
      <c r="A113" s="49">
        <v>2024</v>
      </c>
      <c r="B113" s="72">
        <v>4503.3172921747901</v>
      </c>
      <c r="C113" s="72">
        <v>886.88129592128098</v>
      </c>
      <c r="D113" s="72">
        <v>-278.35045276215533</v>
      </c>
      <c r="E113" s="72">
        <v>2.4378267279316788</v>
      </c>
      <c r="F113" s="72">
        <v>-3396.7022095521097</v>
      </c>
      <c r="H113" s="49">
        <v>2024</v>
      </c>
      <c r="I113" s="72"/>
      <c r="J113" s="72"/>
      <c r="K113" s="72"/>
      <c r="L113" s="72"/>
      <c r="M113" s="72"/>
      <c r="O113" s="49">
        <v>2024</v>
      </c>
      <c r="P113" s="72">
        <v>-9636.3165368114132</v>
      </c>
      <c r="Q113" s="72">
        <v>-4235.6382715182845</v>
      </c>
      <c r="R113" s="72">
        <v>-3004.2719100260292</v>
      </c>
      <c r="S113" s="72">
        <v>36.363090541883139</v>
      </c>
      <c r="T113" s="72">
        <v>-1555.4170968063117</v>
      </c>
    </row>
    <row r="114" spans="1:34" s="69" customFormat="1" x14ac:dyDescent="0.25">
      <c r="A114" s="49">
        <v>2025</v>
      </c>
      <c r="B114" s="67">
        <v>-5373.32346484554</v>
      </c>
      <c r="C114" s="67">
        <v>-3676.3646787903272</v>
      </c>
      <c r="D114" s="67">
        <v>-18234.212169675622</v>
      </c>
      <c r="E114" s="67">
        <v>-4.127037039717834</v>
      </c>
      <c r="F114" s="67">
        <v>-3893.7483729562955</v>
      </c>
      <c r="H114" s="49">
        <v>2025</v>
      </c>
      <c r="I114" s="67"/>
      <c r="J114" s="67"/>
      <c r="K114" s="67"/>
      <c r="L114" s="67"/>
      <c r="M114" s="67"/>
      <c r="O114" s="49">
        <v>2025</v>
      </c>
      <c r="P114" s="67">
        <v>-7752.2001697227824</v>
      </c>
      <c r="Q114" s="67">
        <v>-2792.36114265793</v>
      </c>
      <c r="R114" s="67">
        <v>-1758.1435774750425</v>
      </c>
      <c r="S114" s="67">
        <v>135.69671558815025</v>
      </c>
      <c r="T114" s="67">
        <v>-1865.0188797219307</v>
      </c>
    </row>
    <row r="115" spans="1:34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O115" s="69"/>
      <c r="P115" s="69"/>
      <c r="Q115" s="69"/>
      <c r="R115" s="69"/>
      <c r="S115" s="69"/>
      <c r="T115" s="69"/>
      <c r="AC115" s="41"/>
      <c r="AD115" s="41"/>
      <c r="AE115" s="41"/>
      <c r="AF115" s="41"/>
      <c r="AG115" s="41"/>
      <c r="AH115" s="41"/>
    </row>
    <row r="116" spans="1:34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O116" s="69"/>
      <c r="P116" s="69"/>
      <c r="Q116" s="69"/>
      <c r="R116" s="69"/>
      <c r="S116" s="69"/>
      <c r="T116" s="69"/>
      <c r="AC116" s="41"/>
      <c r="AD116" s="41"/>
      <c r="AE116" s="41"/>
      <c r="AF116" s="41"/>
      <c r="AG116" s="41"/>
      <c r="AH116" s="41"/>
    </row>
    <row r="117" spans="1:34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O117" s="69"/>
      <c r="P117" s="69"/>
      <c r="Q117" s="69"/>
      <c r="R117" s="69"/>
      <c r="S117" s="69"/>
      <c r="T117" s="69"/>
    </row>
  </sheetData>
  <scenarios current="0">
    <scenario name="Neutral" locked="1" count="1" user="Kiet Lee" comment="Created by Kiet Lee on 10/10/2017">
      <inputCells r="B2" val="5" numFmtId="9"/>
    </scenario>
  </scenarios>
  <mergeCells count="9">
    <mergeCell ref="O73:O86"/>
    <mergeCell ref="O30:O43"/>
    <mergeCell ref="O48:O68"/>
    <mergeCell ref="A30:A43"/>
    <mergeCell ref="H30:H43"/>
    <mergeCell ref="H48:H68"/>
    <mergeCell ref="A48:A68"/>
    <mergeCell ref="H73:H86"/>
    <mergeCell ref="A73:A86"/>
  </mergeCells>
  <conditionalFormatting sqref="D15:I21">
    <cfRule type="cellIs" dxfId="1" priority="3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H119"/>
  <sheetViews>
    <sheetView zoomScale="70" zoomScaleNormal="70" workbookViewId="0"/>
  </sheetViews>
  <sheetFormatPr defaultColWidth="14.7109375" defaultRowHeight="15" x14ac:dyDescent="0.25"/>
  <cols>
    <col min="3" max="3" width="14.85546875" customWidth="1"/>
    <col min="5" max="5" width="15.7109375" customWidth="1"/>
    <col min="29" max="30" width="14.7109375" style="69"/>
    <col min="31" max="31" width="15.42578125" style="69" customWidth="1"/>
    <col min="32" max="34" width="14.7109375" style="69"/>
  </cols>
  <sheetData>
    <row r="1" spans="1:34" s="57" customFormat="1" x14ac:dyDescent="0.25">
      <c r="A1" s="8" t="s">
        <v>11</v>
      </c>
      <c r="C1" s="8" t="s">
        <v>13</v>
      </c>
    </row>
    <row r="2" spans="1:34" s="56" customFormat="1" x14ac:dyDescent="0.25">
      <c r="A2" s="9" t="s">
        <v>8</v>
      </c>
      <c r="B2" s="14">
        <v>0.06</v>
      </c>
      <c r="C2" s="20">
        <f>Discount_rate</f>
        <v>0.06</v>
      </c>
      <c r="AC2" s="69"/>
      <c r="AD2" s="69"/>
      <c r="AE2" s="69"/>
      <c r="AF2" s="69"/>
      <c r="AG2" s="69"/>
      <c r="AH2" s="69"/>
    </row>
    <row r="3" spans="1:34" s="56" customFormat="1" x14ac:dyDescent="0.25">
      <c r="A3" s="9" t="s">
        <v>12</v>
      </c>
      <c r="B3" s="24">
        <v>498883.9</v>
      </c>
      <c r="C3" s="32">
        <f>Option_C2_PresentCost+Snowylink_BringForwardcost</f>
        <v>498883.8973308641</v>
      </c>
      <c r="AC3" s="69"/>
      <c r="AD3" s="69"/>
      <c r="AE3" s="69"/>
      <c r="AF3" s="69"/>
      <c r="AG3" s="69"/>
      <c r="AH3" s="69"/>
    </row>
    <row r="4" spans="1:34" s="56" customFormat="1" x14ac:dyDescent="0.25">
      <c r="A4" s="9" t="s">
        <v>27</v>
      </c>
      <c r="B4" s="15">
        <v>30</v>
      </c>
      <c r="C4" s="19">
        <f>Network_payment_duration_years</f>
        <v>30</v>
      </c>
      <c r="AC4" s="69"/>
      <c r="AD4" s="69"/>
      <c r="AE4" s="69"/>
      <c r="AF4" s="69"/>
      <c r="AG4" s="69"/>
      <c r="AH4" s="69"/>
    </row>
    <row r="5" spans="1:34" s="56" customFormat="1" x14ac:dyDescent="0.25">
      <c r="A5" s="10"/>
      <c r="B5" s="25"/>
      <c r="D5" s="57"/>
      <c r="E5" s="57"/>
      <c r="AC5" s="69"/>
      <c r="AD5" s="69"/>
      <c r="AE5" s="69"/>
      <c r="AF5" s="69"/>
      <c r="AG5" s="69"/>
      <c r="AH5" s="69"/>
    </row>
    <row r="6" spans="1:34" s="56" customFormat="1" x14ac:dyDescent="0.25">
      <c r="A6" s="30" t="s">
        <v>14</v>
      </c>
      <c r="B6" s="31" t="s">
        <v>51</v>
      </c>
      <c r="C6" s="31" t="s">
        <v>52</v>
      </c>
      <c r="D6" s="31" t="s">
        <v>53</v>
      </c>
      <c r="AC6" s="69"/>
      <c r="AD6" s="69"/>
      <c r="AE6" s="69"/>
      <c r="AF6" s="69"/>
      <c r="AG6" s="69"/>
      <c r="AH6" s="69"/>
    </row>
    <row r="7" spans="1:34" s="56" customFormat="1" x14ac:dyDescent="0.25">
      <c r="A7" s="30" t="s">
        <v>7</v>
      </c>
      <c r="B7" s="24">
        <f>E24</f>
        <v>9246.5562608006876</v>
      </c>
      <c r="C7" s="24">
        <f>L24</f>
        <v>123324.93908826739</v>
      </c>
      <c r="D7" s="24">
        <f>S24</f>
        <v>162598.27745902038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  <c r="AC7" s="29"/>
      <c r="AD7" s="69"/>
      <c r="AE7" s="69"/>
      <c r="AF7" s="69"/>
      <c r="AG7" s="69"/>
      <c r="AH7" s="69"/>
    </row>
    <row r="8" spans="1:34" s="56" customFormat="1" x14ac:dyDescent="0.25">
      <c r="A8" s="10"/>
      <c r="B8" s="25"/>
      <c r="D8" s="57"/>
      <c r="E8" s="57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  <c r="AC8" s="29"/>
      <c r="AD8" s="69"/>
      <c r="AE8" s="69"/>
      <c r="AF8" s="69"/>
      <c r="AG8" s="69"/>
      <c r="AH8" s="69"/>
    </row>
    <row r="9" spans="1:34" s="57" customFormat="1" x14ac:dyDescent="0.25">
      <c r="A9" s="30" t="str">
        <f>Assumptions!A20</f>
        <v>Sensitivities</v>
      </c>
      <c r="B9" s="4" t="str">
        <f>Assumptions!B20</f>
        <v>Neutral noIC</v>
      </c>
      <c r="C9" s="4" t="str">
        <f>Assumptions!C20</f>
        <v>Commitited gens</v>
      </c>
      <c r="D9" s="4" t="str">
        <f>Assumptions!D20</f>
        <v>Early coal retirement</v>
      </c>
      <c r="E9" s="4" t="str">
        <f>Assumptions!E20</f>
        <v>Total</v>
      </c>
    </row>
    <row r="10" spans="1:34" s="57" customFormat="1" x14ac:dyDescent="0.25">
      <c r="A10" s="9" t="str">
        <f>Assumptions!A21</f>
        <v>Neutral noIC</v>
      </c>
      <c r="B10" s="6">
        <f>Assumptions!B21</f>
        <v>1</v>
      </c>
      <c r="C10" s="6">
        <f>Assumptions!C21</f>
        <v>0</v>
      </c>
      <c r="D10" s="6">
        <f>Assumptions!D21</f>
        <v>0</v>
      </c>
      <c r="E10" s="6">
        <f>Assumptions!E21</f>
        <v>1</v>
      </c>
    </row>
    <row r="11" spans="1:34" s="57" customFormat="1" x14ac:dyDescent="0.25">
      <c r="A11" s="9" t="str">
        <f>Assumptions!A22</f>
        <v>Commitited gens</v>
      </c>
      <c r="B11" s="6">
        <f>Assumptions!B22</f>
        <v>0</v>
      </c>
      <c r="C11" s="6">
        <f>Assumptions!C22</f>
        <v>1</v>
      </c>
      <c r="D11" s="6">
        <f>Assumptions!D22</f>
        <v>0</v>
      </c>
      <c r="E11" s="6">
        <f>Assumptions!E22</f>
        <v>1</v>
      </c>
    </row>
    <row r="12" spans="1:34" s="57" customFormat="1" x14ac:dyDescent="0.25">
      <c r="A12" s="9" t="str">
        <f>Assumptions!A23</f>
        <v>Early coal retirement</v>
      </c>
      <c r="B12" s="6">
        <f>Assumptions!B23</f>
        <v>0</v>
      </c>
      <c r="C12" s="6">
        <f>Assumptions!C23</f>
        <v>0</v>
      </c>
      <c r="D12" s="6">
        <f>Assumptions!D23</f>
        <v>1</v>
      </c>
      <c r="E12" s="6">
        <f>Assumptions!E23</f>
        <v>1</v>
      </c>
    </row>
    <row r="13" spans="1:34" s="57" customFormat="1" x14ac:dyDescent="0.25">
      <c r="A13" s="10"/>
      <c r="B13" s="63"/>
      <c r="C13" s="63"/>
      <c r="D13" s="63"/>
      <c r="E13" s="63"/>
      <c r="F13" s="63"/>
    </row>
    <row r="14" spans="1:34" s="57" customFormat="1" x14ac:dyDescent="0.25">
      <c r="A14" s="33"/>
      <c r="B14" s="4" t="s">
        <v>28</v>
      </c>
      <c r="C14" s="33" t="str">
        <f ca="1">MID(CELL("filename",C1),FIND("]",CELL("filename",C1))+1,255)</f>
        <v>Benefits - Option C2</v>
      </c>
      <c r="D14" s="9" t="s">
        <v>51</v>
      </c>
      <c r="E14" s="9" t="s">
        <v>52</v>
      </c>
      <c r="F14" s="9" t="s">
        <v>53</v>
      </c>
      <c r="G14" s="31" t="s">
        <v>51</v>
      </c>
      <c r="H14" s="31" t="s">
        <v>52</v>
      </c>
      <c r="I14" s="31" t="s">
        <v>53</v>
      </c>
      <c r="N14" s="29"/>
      <c r="O14" s="29"/>
      <c r="P14" s="29"/>
      <c r="T14" s="29"/>
      <c r="U14" s="29"/>
      <c r="V14" s="29"/>
      <c r="AC14" s="29"/>
    </row>
    <row r="15" spans="1:34" s="56" customFormat="1" x14ac:dyDescent="0.25">
      <c r="A15" s="22" t="s">
        <v>8</v>
      </c>
      <c r="B15" s="23">
        <f>Assumptions!B9+Discount_rate</f>
        <v>0.06</v>
      </c>
      <c r="C15" s="53" t="s">
        <v>29</v>
      </c>
      <c r="D15" s="1">
        <v>9246.56</v>
      </c>
      <c r="E15" s="1">
        <v>123324.94</v>
      </c>
      <c r="F15" s="1">
        <v>162598.28</v>
      </c>
      <c r="G15" s="1">
        <f>$B$10*$D15+$C$10*$E15+$D$10*$F15</f>
        <v>9246.56</v>
      </c>
      <c r="H15" s="1">
        <f>$B$11*$D15+$C$11*$E15+$D$11*$F15</f>
        <v>123324.94</v>
      </c>
      <c r="I15" s="1">
        <f>$B$12*$D15+$C$12*$E15+$D$12*$F15</f>
        <v>162598.28</v>
      </c>
      <c r="N15" s="29"/>
      <c r="O15" s="29"/>
      <c r="P15" s="29"/>
      <c r="T15" s="29"/>
      <c r="U15" s="29"/>
      <c r="V15" s="29"/>
      <c r="AC15" s="29"/>
      <c r="AD15" s="69"/>
      <c r="AE15" s="69"/>
      <c r="AF15" s="69"/>
      <c r="AG15" s="69"/>
      <c r="AH15" s="69"/>
    </row>
    <row r="16" spans="1:34" s="56" customFormat="1" x14ac:dyDescent="0.25">
      <c r="A16" s="22"/>
      <c r="B16" s="23">
        <f>Assumptions!B10+Discount_rate</f>
        <v>8.4999999999999992E-2</v>
      </c>
      <c r="C16" s="22" t="str">
        <f>"Discount rate " &amp;Assumptions!B10</f>
        <v>Discount rate 0.025</v>
      </c>
      <c r="D16" s="1">
        <v>-38898.04</v>
      </c>
      <c r="E16" s="1">
        <v>-17586.87</v>
      </c>
      <c r="F16" s="1">
        <v>102209.52</v>
      </c>
      <c r="G16" s="1">
        <f t="shared" ref="G16:G21" si="0">$B$10*$D16+$C$10*$E16+$D$10*$F16</f>
        <v>-38898.04</v>
      </c>
      <c r="H16" s="1">
        <f t="shared" ref="H16:H21" si="1">$B$11*$D16+$C$11*$E16+$D$11*$F16</f>
        <v>-17586.87</v>
      </c>
      <c r="I16" s="1">
        <f t="shared" ref="I16:I21" si="2">$B$12*$D16+$C$12*$E16+$D$12*$F16</f>
        <v>102209.52</v>
      </c>
      <c r="N16" s="29"/>
      <c r="O16" s="29"/>
      <c r="P16" s="29"/>
      <c r="T16" s="29"/>
      <c r="U16" s="29"/>
      <c r="V16" s="29"/>
      <c r="AC16" s="29"/>
      <c r="AD16" s="69"/>
      <c r="AE16" s="69"/>
      <c r="AF16" s="69"/>
      <c r="AG16" s="69"/>
      <c r="AH16" s="69"/>
    </row>
    <row r="17" spans="1:34" s="56" customFormat="1" x14ac:dyDescent="0.25">
      <c r="A17" s="22"/>
      <c r="B17" s="23">
        <f>Assumptions!B11+Discount_rate</f>
        <v>3.4999999999999996E-2</v>
      </c>
      <c r="C17" s="22" t="str">
        <f>"Discount rate " &amp;Assumptions!B11</f>
        <v>Discount rate -0.025</v>
      </c>
      <c r="D17" s="1">
        <v>114267.52</v>
      </c>
      <c r="E17" s="1">
        <v>428725.01</v>
      </c>
      <c r="F17" s="1">
        <v>279973.84999999998</v>
      </c>
      <c r="G17" s="1">
        <f t="shared" si="0"/>
        <v>114267.52</v>
      </c>
      <c r="H17" s="1">
        <f t="shared" si="1"/>
        <v>428725.01</v>
      </c>
      <c r="I17" s="1">
        <f t="shared" si="2"/>
        <v>279973.84999999998</v>
      </c>
      <c r="N17" s="29"/>
      <c r="O17" s="29"/>
      <c r="P17" s="29"/>
      <c r="T17" s="29"/>
      <c r="U17" s="29"/>
      <c r="V17" s="29"/>
      <c r="AC17" s="29"/>
      <c r="AD17" s="69"/>
      <c r="AE17" s="69"/>
      <c r="AF17" s="69"/>
      <c r="AG17" s="69"/>
      <c r="AH17" s="69"/>
    </row>
    <row r="18" spans="1:34" s="56" customFormat="1" x14ac:dyDescent="0.25">
      <c r="A18" s="21" t="s">
        <v>12</v>
      </c>
      <c r="B18" s="24">
        <f>Assumptions!B13*(Option_C2_PresentCost+Snowylink_BringForwardcost)</f>
        <v>648549.06653012335</v>
      </c>
      <c r="C18" s="21" t="str">
        <f>"Cost x "&amp;Assumptions!B13</f>
        <v>Cost x 1.3</v>
      </c>
      <c r="D18" s="1">
        <v>-100041.63</v>
      </c>
      <c r="E18" s="1">
        <v>49701.82</v>
      </c>
      <c r="F18" s="1">
        <v>118595.02</v>
      </c>
      <c r="G18" s="1">
        <f t="shared" si="0"/>
        <v>-100041.63</v>
      </c>
      <c r="H18" s="1">
        <f t="shared" si="1"/>
        <v>49701.82</v>
      </c>
      <c r="I18" s="1">
        <f t="shared" si="2"/>
        <v>118595.02</v>
      </c>
      <c r="N18" s="29"/>
      <c r="O18" s="29"/>
      <c r="P18" s="29"/>
      <c r="T18" s="29"/>
      <c r="U18" s="29"/>
      <c r="V18" s="29"/>
      <c r="AC18" s="29"/>
      <c r="AD18" s="69"/>
      <c r="AE18" s="69"/>
      <c r="AF18" s="69"/>
      <c r="AG18" s="69"/>
      <c r="AH18" s="69"/>
    </row>
    <row r="19" spans="1:34" s="56" customFormat="1" x14ac:dyDescent="0.25">
      <c r="A19" s="21"/>
      <c r="B19" s="24">
        <f>Assumptions!B14*(Option_C2_PresentCost+Snowylink_BringForwardcost)</f>
        <v>349218.72813160485</v>
      </c>
      <c r="C19" s="21" t="str">
        <f>"Cost x "&amp;Assumptions!B14</f>
        <v>Cost x 0.7</v>
      </c>
      <c r="D19" s="1">
        <v>118534.74</v>
      </c>
      <c r="E19" s="1">
        <v>196948.06</v>
      </c>
      <c r="F19" s="1">
        <v>206601.53</v>
      </c>
      <c r="G19" s="1">
        <f t="shared" si="0"/>
        <v>118534.74</v>
      </c>
      <c r="H19" s="1">
        <f t="shared" si="1"/>
        <v>196948.06</v>
      </c>
      <c r="I19" s="1">
        <f t="shared" si="2"/>
        <v>206601.53</v>
      </c>
      <c r="N19" s="29"/>
      <c r="O19" s="29"/>
      <c r="P19" s="29"/>
      <c r="T19" s="29"/>
      <c r="U19" s="29"/>
      <c r="V19" s="29"/>
      <c r="AC19" s="29"/>
      <c r="AD19" s="69"/>
      <c r="AE19" s="69"/>
      <c r="AF19" s="69"/>
      <c r="AG19" s="69"/>
      <c r="AH19" s="69"/>
    </row>
    <row r="20" spans="1:34" s="56" customFormat="1" x14ac:dyDescent="0.25">
      <c r="A20" s="51" t="s">
        <v>26</v>
      </c>
      <c r="B20" s="52">
        <f>Network_payment_duration_years+Assumptions!B16</f>
        <v>25</v>
      </c>
      <c r="C20" s="51" t="str">
        <f>"Payback "&amp;Assumptions!B16&amp;" years"</f>
        <v>Payback -5 years</v>
      </c>
      <c r="D20" s="1">
        <v>8509.43</v>
      </c>
      <c r="E20" s="1">
        <v>114288.92</v>
      </c>
      <c r="F20" s="1">
        <v>146999.10999999999</v>
      </c>
      <c r="G20" s="1">
        <f t="shared" si="0"/>
        <v>8509.43</v>
      </c>
      <c r="H20" s="1">
        <f t="shared" si="1"/>
        <v>114288.92</v>
      </c>
      <c r="I20" s="1">
        <f t="shared" si="2"/>
        <v>146999.10999999999</v>
      </c>
      <c r="N20" s="29"/>
      <c r="O20" s="29"/>
      <c r="P20" s="29"/>
      <c r="T20" s="29"/>
      <c r="U20" s="29"/>
      <c r="V20" s="29"/>
      <c r="AC20" s="29"/>
      <c r="AD20" s="69"/>
      <c r="AE20" s="69"/>
      <c r="AF20" s="69"/>
      <c r="AG20" s="69"/>
      <c r="AH20" s="69"/>
    </row>
    <row r="21" spans="1:34" s="56" customFormat="1" x14ac:dyDescent="0.25">
      <c r="A21" s="51"/>
      <c r="B21" s="52">
        <f>Network_payment_duration_years+Assumptions!B17</f>
        <v>35</v>
      </c>
      <c r="C21" s="51" t="str">
        <f>"Payback +"&amp;Assumptions!B17&amp;" years"</f>
        <v>Payback +5 years</v>
      </c>
      <c r="D21" s="1">
        <v>9732.23</v>
      </c>
      <c r="E21" s="1">
        <v>130012.02</v>
      </c>
      <c r="F21" s="1">
        <v>174189.73</v>
      </c>
      <c r="G21" s="1">
        <f t="shared" si="0"/>
        <v>9732.23</v>
      </c>
      <c r="H21" s="1">
        <f t="shared" si="1"/>
        <v>130012.02</v>
      </c>
      <c r="I21" s="1">
        <f t="shared" si="2"/>
        <v>174189.73</v>
      </c>
      <c r="N21" s="29"/>
      <c r="O21" s="29"/>
      <c r="P21" s="29"/>
      <c r="T21" s="29"/>
      <c r="U21" s="29"/>
      <c r="V21" s="29"/>
      <c r="AC21" s="29"/>
      <c r="AD21" s="69"/>
      <c r="AE21" s="69"/>
      <c r="AF21" s="69"/>
      <c r="AG21" s="69"/>
      <c r="AH21" s="69"/>
    </row>
    <row r="22" spans="1:34" s="57" customFormat="1" x14ac:dyDescent="0.25">
      <c r="A22" s="74"/>
      <c r="B22" s="11"/>
      <c r="C22" s="3"/>
      <c r="E22" s="3"/>
    </row>
    <row r="23" spans="1:34" x14ac:dyDescent="0.25">
      <c r="A23" s="3"/>
      <c r="B23" s="69"/>
      <c r="C23" s="12" t="s">
        <v>4</v>
      </c>
      <c r="D23" s="12" t="s">
        <v>5</v>
      </c>
      <c r="E23" s="12" t="s">
        <v>6</v>
      </c>
      <c r="F23" s="69"/>
      <c r="G23" s="69"/>
      <c r="H23" s="3"/>
      <c r="I23" s="56"/>
      <c r="J23" s="12" t="s">
        <v>4</v>
      </c>
      <c r="K23" s="12" t="s">
        <v>5</v>
      </c>
      <c r="L23" s="12" t="s">
        <v>6</v>
      </c>
      <c r="O23" s="3"/>
      <c r="P23" s="69"/>
      <c r="Q23" s="12" t="s">
        <v>4</v>
      </c>
      <c r="R23" s="12" t="s">
        <v>5</v>
      </c>
      <c r="S23" s="12" t="s">
        <v>6</v>
      </c>
      <c r="T23" s="69"/>
    </row>
    <row r="24" spans="1:34" x14ac:dyDescent="0.25">
      <c r="A24" s="25"/>
      <c r="B24" s="49" t="s">
        <v>7</v>
      </c>
      <c r="C24" s="1">
        <f>NPV($B$2,'Benefits - Option C2'!C30:C43)+C72+E46</f>
        <v>373540.50000317767</v>
      </c>
      <c r="D24" s="1">
        <f>NPV($B$2,'Benefits - Option C2'!D30:D43)+NPV($B$2,E30:E43)</f>
        <v>364293.94374237699</v>
      </c>
      <c r="E24" s="1">
        <f>C24-D24</f>
        <v>9246.5562608006876</v>
      </c>
      <c r="F24" s="69"/>
      <c r="G24" s="69"/>
      <c r="H24" s="25"/>
      <c r="I24" s="49" t="s">
        <v>7</v>
      </c>
      <c r="J24" s="1">
        <f>NPV($B$2,'Benefits - Option C2'!J30:J43)+J72+L46</f>
        <v>487618.88283064438</v>
      </c>
      <c r="K24" s="1">
        <f>NPV($B$2,'Benefits - Option C2'!K30:K43)+NPV($B$2,L30:L43)</f>
        <v>364293.94374237699</v>
      </c>
      <c r="L24" s="1">
        <f>J24-K24</f>
        <v>123324.93908826739</v>
      </c>
      <c r="O24" s="25"/>
      <c r="P24" s="49" t="s">
        <v>7</v>
      </c>
      <c r="Q24" s="1">
        <f>NPV($B$2,'Benefits - Option C2'!Q30:Q43)+Q72+S46</f>
        <v>526892.22120139736</v>
      </c>
      <c r="R24" s="1">
        <f>NPV($B$2,'Benefits - Option C2'!R30:R43)+NPV($B$2,S30:S43)</f>
        <v>364293.94374237699</v>
      </c>
      <c r="S24" s="1">
        <f>Q24-R24</f>
        <v>162598.27745902038</v>
      </c>
      <c r="T24" s="69"/>
    </row>
    <row r="25" spans="1:34" s="37" customFormat="1" ht="15.75" thickBot="1" x14ac:dyDescent="0.3">
      <c r="A25" s="36"/>
      <c r="C25" s="36"/>
      <c r="D25" s="36"/>
      <c r="E25" s="36"/>
      <c r="H25" s="36"/>
      <c r="J25" s="36"/>
      <c r="K25" s="36"/>
      <c r="L25" s="36"/>
      <c r="O25" s="36"/>
      <c r="Q25" s="36"/>
      <c r="R25" s="36"/>
      <c r="S25" s="36"/>
    </row>
    <row r="26" spans="1:34" s="2" customFormat="1" x14ac:dyDescent="0.25">
      <c r="A26" s="3"/>
      <c r="B26" s="57"/>
      <c r="C26" s="3"/>
      <c r="D26" s="3"/>
      <c r="E26" s="3"/>
      <c r="F26" s="57"/>
      <c r="G26" s="57"/>
      <c r="H26" s="3"/>
      <c r="I26" s="57"/>
      <c r="J26" s="3"/>
      <c r="K26" s="3"/>
      <c r="L26" s="3"/>
      <c r="O26" s="3"/>
      <c r="P26" s="57"/>
      <c r="Q26" s="3"/>
      <c r="R26" s="3"/>
      <c r="S26" s="3"/>
      <c r="T26" s="57"/>
    </row>
    <row r="27" spans="1:34" s="57" customFormat="1" x14ac:dyDescent="0.25">
      <c r="A27" s="75" t="s">
        <v>62</v>
      </c>
      <c r="C27" s="3"/>
      <c r="D27" s="3"/>
      <c r="E27" s="3"/>
      <c r="H27" s="3"/>
      <c r="J27" s="3"/>
      <c r="K27" s="3"/>
      <c r="L27" s="3"/>
      <c r="O27" s="3"/>
      <c r="Q27" s="3"/>
      <c r="R27" s="3"/>
      <c r="S27" s="3"/>
    </row>
    <row r="28" spans="1:34" s="69" customFormat="1" x14ac:dyDescent="0.25">
      <c r="A28" s="26" t="str">
        <f>B6</f>
        <v>Neutral noIC</v>
      </c>
      <c r="B28" s="27"/>
      <c r="C28" s="27"/>
      <c r="D28" s="27"/>
      <c r="E28" s="28"/>
      <c r="H28" s="44" t="str">
        <f>C6</f>
        <v>Commitited gens</v>
      </c>
      <c r="I28" s="27"/>
      <c r="J28" s="27"/>
      <c r="K28" s="27"/>
      <c r="L28" s="28"/>
      <c r="O28" s="44" t="str">
        <f>A12</f>
        <v>Early coal retirement</v>
      </c>
      <c r="P28" s="27"/>
      <c r="Q28" s="27"/>
      <c r="R28" s="27"/>
      <c r="S28" s="28"/>
    </row>
    <row r="29" spans="1:34" s="69" customFormat="1" x14ac:dyDescent="0.25">
      <c r="A29" s="12" t="s">
        <v>0</v>
      </c>
      <c r="B29" s="12" t="s">
        <v>1</v>
      </c>
      <c r="C29" s="12" t="s">
        <v>4</v>
      </c>
      <c r="D29" s="12" t="s">
        <v>5</v>
      </c>
      <c r="E29" s="49" t="s">
        <v>56</v>
      </c>
      <c r="H29" s="12" t="s">
        <v>0</v>
      </c>
      <c r="I29" s="12" t="s">
        <v>1</v>
      </c>
      <c r="J29" s="12" t="s">
        <v>4</v>
      </c>
      <c r="K29" s="12" t="s">
        <v>5</v>
      </c>
      <c r="L29" s="49" t="s">
        <v>56</v>
      </c>
      <c r="O29" s="12" t="s">
        <v>0</v>
      </c>
      <c r="P29" s="12" t="s">
        <v>1</v>
      </c>
      <c r="Q29" s="12" t="s">
        <v>4</v>
      </c>
      <c r="R29" s="12" t="s">
        <v>5</v>
      </c>
      <c r="S29" s="49" t="s">
        <v>56</v>
      </c>
    </row>
    <row r="30" spans="1:34" s="69" customFormat="1" x14ac:dyDescent="0.25">
      <c r="A30" s="77" t="s">
        <v>9</v>
      </c>
      <c r="B30" s="49">
        <v>2020</v>
      </c>
      <c r="C30" s="1">
        <f t="shared" ref="C30:C39" si="3">IF(B30&gt;=Option_C2_Year,SUM(B92:F92),SUM(B110:F110))</f>
        <v>3496.2289531679562</v>
      </c>
      <c r="D30" s="1">
        <f t="shared" ref="D30:D42" si="4">IF(AND(B30&gt;=Option_C2_Year,B30&lt;=(Option_C2_Year+($B$4-1))),-PMT($B$2,$B$4,$B$3,,0),0)</f>
        <v>0</v>
      </c>
      <c r="E30" s="1">
        <f>D30*Assumptions!$D$29</f>
        <v>0</v>
      </c>
      <c r="H30" s="77" t="s">
        <v>9</v>
      </c>
      <c r="I30" s="49">
        <v>2020</v>
      </c>
      <c r="J30" s="1">
        <f t="shared" ref="J30:J39" si="5">IF(I30&gt;=Option_C2_Year,SUM(I92:M92),SUM(I110:M110))</f>
        <v>0</v>
      </c>
      <c r="K30" s="1">
        <f t="shared" ref="K30:K42" si="6">IF(AND(I30&gt;=Option_C2_Year,I30&lt;=(Option_C2_Year+($B$4-1))),-PMT($B$2,$B$4,$B$3,,0),0)</f>
        <v>0</v>
      </c>
      <c r="L30" s="1">
        <f>K30*Assumptions!$D$29</f>
        <v>0</v>
      </c>
      <c r="O30" s="77" t="s">
        <v>9</v>
      </c>
      <c r="P30" s="49">
        <v>2020</v>
      </c>
      <c r="Q30" s="1">
        <f t="shared" ref="Q30:Q39" si="7">IF(P30&gt;=Option_C2_Year,SUM(P92:T92),SUM(P110:T110))</f>
        <v>2586.498771031067</v>
      </c>
      <c r="R30" s="1">
        <f t="shared" ref="R30:R42" si="8">IF(AND(P30&gt;=Option_C2_Year,P30&lt;=(Option_C2_Year+($B$4-1))),-PMT($B$2,$B$4,$B$3,,0),0)</f>
        <v>0</v>
      </c>
      <c r="S30" s="1">
        <f>R30*Assumptions!$D$29</f>
        <v>0</v>
      </c>
    </row>
    <row r="31" spans="1:34" s="69" customFormat="1" x14ac:dyDescent="0.25">
      <c r="A31" s="78"/>
      <c r="B31" s="49">
        <v>2021</v>
      </c>
      <c r="C31" s="1">
        <f t="shared" si="3"/>
        <v>-7130.563818303126</v>
      </c>
      <c r="D31" s="1">
        <f t="shared" si="4"/>
        <v>0</v>
      </c>
      <c r="E31" s="1">
        <f>D31*Assumptions!$D$29</f>
        <v>0</v>
      </c>
      <c r="H31" s="78"/>
      <c r="I31" s="49">
        <v>2021</v>
      </c>
      <c r="J31" s="1">
        <f t="shared" si="5"/>
        <v>0</v>
      </c>
      <c r="K31" s="1">
        <f t="shared" si="6"/>
        <v>0</v>
      </c>
      <c r="L31" s="1">
        <f>K31*Assumptions!$D$29</f>
        <v>0</v>
      </c>
      <c r="O31" s="78"/>
      <c r="P31" s="49">
        <v>2021</v>
      </c>
      <c r="Q31" s="1">
        <f t="shared" si="7"/>
        <v>-7504.9156915289059</v>
      </c>
      <c r="R31" s="1">
        <f t="shared" si="8"/>
        <v>0</v>
      </c>
      <c r="S31" s="1">
        <f>R31*Assumptions!$D$29</f>
        <v>0</v>
      </c>
    </row>
    <row r="32" spans="1:34" s="69" customFormat="1" x14ac:dyDescent="0.25">
      <c r="A32" s="78"/>
      <c r="B32" s="49">
        <v>2022</v>
      </c>
      <c r="C32" s="1">
        <f t="shared" si="3"/>
        <v>-14462.505350166197</v>
      </c>
      <c r="D32" s="1">
        <f t="shared" si="4"/>
        <v>0</v>
      </c>
      <c r="E32" s="1">
        <f>D32*Assumptions!$D$29</f>
        <v>0</v>
      </c>
      <c r="H32" s="78"/>
      <c r="I32" s="49">
        <v>2022</v>
      </c>
      <c r="J32" s="1">
        <f t="shared" si="5"/>
        <v>0</v>
      </c>
      <c r="K32" s="1">
        <f t="shared" si="6"/>
        <v>0</v>
      </c>
      <c r="L32" s="1">
        <f>K32*Assumptions!$D$29</f>
        <v>0</v>
      </c>
      <c r="O32" s="78"/>
      <c r="P32" s="49">
        <v>2022</v>
      </c>
      <c r="Q32" s="1">
        <f t="shared" si="7"/>
        <v>-14230.538542709422</v>
      </c>
      <c r="R32" s="1">
        <f t="shared" si="8"/>
        <v>0</v>
      </c>
      <c r="S32" s="1">
        <f>R32*Assumptions!$D$29</f>
        <v>0</v>
      </c>
    </row>
    <row r="33" spans="1:19" s="69" customFormat="1" x14ac:dyDescent="0.25">
      <c r="A33" s="78"/>
      <c r="B33" s="49">
        <v>2023</v>
      </c>
      <c r="C33" s="1">
        <f t="shared" si="3"/>
        <v>-50467.503765033878</v>
      </c>
      <c r="D33" s="1">
        <f t="shared" si="4"/>
        <v>0</v>
      </c>
      <c r="E33" s="1">
        <f>D33*Assumptions!$D$29</f>
        <v>0</v>
      </c>
      <c r="H33" s="78"/>
      <c r="I33" s="49">
        <v>2023</v>
      </c>
      <c r="J33" s="1">
        <f t="shared" si="5"/>
        <v>0</v>
      </c>
      <c r="K33" s="1">
        <f t="shared" si="6"/>
        <v>0</v>
      </c>
      <c r="L33" s="1">
        <f>K33*Assumptions!$D$29</f>
        <v>0</v>
      </c>
      <c r="O33" s="78"/>
      <c r="P33" s="49">
        <v>2023</v>
      </c>
      <c r="Q33" s="1">
        <f t="shared" si="7"/>
        <v>-59046.23341619518</v>
      </c>
      <c r="R33" s="1">
        <f t="shared" si="8"/>
        <v>0</v>
      </c>
      <c r="S33" s="1">
        <f>R33*Assumptions!$D$29</f>
        <v>0</v>
      </c>
    </row>
    <row r="34" spans="1:19" s="69" customFormat="1" x14ac:dyDescent="0.25">
      <c r="A34" s="78"/>
      <c r="B34" s="49">
        <v>2024</v>
      </c>
      <c r="C34" s="1">
        <f t="shared" si="3"/>
        <v>1717.5837525097377</v>
      </c>
      <c r="D34" s="1">
        <f t="shared" si="4"/>
        <v>0</v>
      </c>
      <c r="E34" s="1">
        <f>D34*Assumptions!$D$29</f>
        <v>0</v>
      </c>
      <c r="H34" s="78"/>
      <c r="I34" s="49">
        <v>2024</v>
      </c>
      <c r="J34" s="1">
        <f t="shared" si="5"/>
        <v>0</v>
      </c>
      <c r="K34" s="1">
        <f t="shared" si="6"/>
        <v>0</v>
      </c>
      <c r="L34" s="1">
        <f>K34*Assumptions!$D$29</f>
        <v>0</v>
      </c>
      <c r="O34" s="78"/>
      <c r="P34" s="49">
        <v>2024</v>
      </c>
      <c r="Q34" s="1">
        <f t="shared" si="7"/>
        <v>-18395.280724620156</v>
      </c>
      <c r="R34" s="1">
        <f t="shared" si="8"/>
        <v>0</v>
      </c>
      <c r="S34" s="1">
        <f>R34*Assumptions!$D$29</f>
        <v>0</v>
      </c>
    </row>
    <row r="35" spans="1:19" s="69" customFormat="1" x14ac:dyDescent="0.25">
      <c r="A35" s="78"/>
      <c r="B35" s="49">
        <v>2025</v>
      </c>
      <c r="C35" s="1">
        <f t="shared" si="3"/>
        <v>-24370.912682460686</v>
      </c>
      <c r="D35" s="1">
        <f t="shared" si="4"/>
        <v>36243.372294909568</v>
      </c>
      <c r="E35" s="1">
        <f>D35*Assumptions!$D$29</f>
        <v>309.1221677520918</v>
      </c>
      <c r="H35" s="78"/>
      <c r="I35" s="49">
        <v>2025</v>
      </c>
      <c r="J35" s="1">
        <f t="shared" si="5"/>
        <v>-7069.3603538692696</v>
      </c>
      <c r="K35" s="1">
        <f t="shared" si="6"/>
        <v>36243.372294909568</v>
      </c>
      <c r="L35" s="1">
        <f>K35*Assumptions!$D$29</f>
        <v>309.1221677520918</v>
      </c>
      <c r="O35" s="78"/>
      <c r="P35" s="49">
        <v>2025</v>
      </c>
      <c r="Q35" s="1">
        <f t="shared" si="7"/>
        <v>7838.1528497575637</v>
      </c>
      <c r="R35" s="1">
        <f t="shared" si="8"/>
        <v>36243.372294909568</v>
      </c>
      <c r="S35" s="1">
        <f>R35*Assumptions!$D$29</f>
        <v>309.1221677520918</v>
      </c>
    </row>
    <row r="36" spans="1:19" s="69" customFormat="1" x14ac:dyDescent="0.25">
      <c r="A36" s="78"/>
      <c r="B36" s="49">
        <v>2026</v>
      </c>
      <c r="C36" s="1">
        <f t="shared" si="3"/>
        <v>-9853.9540496560949</v>
      </c>
      <c r="D36" s="1">
        <f t="shared" si="4"/>
        <v>36243.372294909568</v>
      </c>
      <c r="E36" s="1">
        <f>D36*Assumptions!$D$29</f>
        <v>309.1221677520918</v>
      </c>
      <c r="H36" s="78"/>
      <c r="I36" s="49">
        <v>2026</v>
      </c>
      <c r="J36" s="1">
        <f t="shared" si="5"/>
        <v>11514.048632655831</v>
      </c>
      <c r="K36" s="1">
        <f t="shared" si="6"/>
        <v>36243.372294909568</v>
      </c>
      <c r="L36" s="1">
        <f>K36*Assumptions!$D$29</f>
        <v>309.1221677520918</v>
      </c>
      <c r="O36" s="78"/>
      <c r="P36" s="49">
        <v>2026</v>
      </c>
      <c r="Q36" s="1">
        <f t="shared" si="7"/>
        <v>3819.1701983870444</v>
      </c>
      <c r="R36" s="1">
        <f t="shared" si="8"/>
        <v>36243.372294909568</v>
      </c>
      <c r="S36" s="1">
        <f>R36*Assumptions!$D$29</f>
        <v>309.1221677520918</v>
      </c>
    </row>
    <row r="37" spans="1:19" s="69" customFormat="1" x14ac:dyDescent="0.25">
      <c r="A37" s="78"/>
      <c r="B37" s="49">
        <v>2027</v>
      </c>
      <c r="C37" s="1">
        <f t="shared" si="3"/>
        <v>-6552.356007554692</v>
      </c>
      <c r="D37" s="1">
        <f t="shared" si="4"/>
        <v>36243.372294909568</v>
      </c>
      <c r="E37" s="1">
        <f>D37*Assumptions!$D$29</f>
        <v>309.1221677520918</v>
      </c>
      <c r="H37" s="78"/>
      <c r="I37" s="49">
        <v>2027</v>
      </c>
      <c r="J37" s="1">
        <f t="shared" si="5"/>
        <v>7727.6721387744474</v>
      </c>
      <c r="K37" s="1">
        <f t="shared" si="6"/>
        <v>36243.372294909568</v>
      </c>
      <c r="L37" s="1">
        <f>K37*Assumptions!$D$29</f>
        <v>309.1221677520918</v>
      </c>
      <c r="O37" s="78"/>
      <c r="P37" s="49">
        <v>2027</v>
      </c>
      <c r="Q37" s="1">
        <f t="shared" si="7"/>
        <v>3176.3556836068965</v>
      </c>
      <c r="R37" s="1">
        <f t="shared" si="8"/>
        <v>36243.372294909568</v>
      </c>
      <c r="S37" s="1">
        <f>R37*Assumptions!$D$29</f>
        <v>309.1221677520918</v>
      </c>
    </row>
    <row r="38" spans="1:19" s="69" customFormat="1" x14ac:dyDescent="0.25">
      <c r="A38" s="78"/>
      <c r="B38" s="49">
        <v>2028</v>
      </c>
      <c r="C38" s="1">
        <f t="shared" si="3"/>
        <v>-5697.0884961561533</v>
      </c>
      <c r="D38" s="1">
        <f t="shared" si="4"/>
        <v>36243.372294909568</v>
      </c>
      <c r="E38" s="1">
        <f>D38*Assumptions!$D$29</f>
        <v>309.1221677520918</v>
      </c>
      <c r="H38" s="78"/>
      <c r="I38" s="49">
        <v>2028</v>
      </c>
      <c r="J38" s="1">
        <f t="shared" si="5"/>
        <v>9255.4025261373026</v>
      </c>
      <c r="K38" s="1">
        <f t="shared" si="6"/>
        <v>36243.372294909568</v>
      </c>
      <c r="L38" s="1">
        <f>K38*Assumptions!$D$29</f>
        <v>309.1221677520918</v>
      </c>
      <c r="O38" s="78"/>
      <c r="P38" s="49">
        <v>2028</v>
      </c>
      <c r="Q38" s="1">
        <f t="shared" si="7"/>
        <v>-440.52092387597804</v>
      </c>
      <c r="R38" s="1">
        <f t="shared" si="8"/>
        <v>36243.372294909568</v>
      </c>
      <c r="S38" s="1">
        <f>R38*Assumptions!$D$29</f>
        <v>309.1221677520918</v>
      </c>
    </row>
    <row r="39" spans="1:19" s="69" customFormat="1" x14ac:dyDescent="0.25">
      <c r="A39" s="78"/>
      <c r="B39" s="49">
        <v>2029</v>
      </c>
      <c r="C39" s="1">
        <f t="shared" si="3"/>
        <v>8064.4145665667602</v>
      </c>
      <c r="D39" s="1">
        <f t="shared" si="4"/>
        <v>36243.372294909568</v>
      </c>
      <c r="E39" s="1">
        <f>D39*Assumptions!$D$29</f>
        <v>309.1221677520918</v>
      </c>
      <c r="H39" s="78"/>
      <c r="I39" s="49">
        <v>2029</v>
      </c>
      <c r="J39" s="1">
        <f t="shared" si="5"/>
        <v>38053.564978373935</v>
      </c>
      <c r="K39" s="1">
        <f t="shared" si="6"/>
        <v>36243.372294909568</v>
      </c>
      <c r="L39" s="1">
        <f>K39*Assumptions!$D$29</f>
        <v>309.1221677520918</v>
      </c>
      <c r="O39" s="78"/>
      <c r="P39" s="49">
        <v>2029</v>
      </c>
      <c r="Q39" s="1">
        <f t="shared" si="7"/>
        <v>3903.3861030134431</v>
      </c>
      <c r="R39" s="1">
        <f t="shared" si="8"/>
        <v>36243.372294909568</v>
      </c>
      <c r="S39" s="1">
        <f>R39*Assumptions!$D$29</f>
        <v>309.1221677520918</v>
      </c>
    </row>
    <row r="40" spans="1:19" s="69" customFormat="1" x14ac:dyDescent="0.25">
      <c r="A40" s="78"/>
      <c r="B40" s="49">
        <v>2030</v>
      </c>
      <c r="C40" s="1">
        <f>IF(B40&gt;=Option_C2_Year,SUM(B102:F102),SUM(P120:T120))</f>
        <v>10683.177149000301</v>
      </c>
      <c r="D40" s="1">
        <f t="shared" si="4"/>
        <v>36243.372294909568</v>
      </c>
      <c r="E40" s="1">
        <f>D40*Assumptions!$D$29</f>
        <v>309.1221677520918</v>
      </c>
      <c r="H40" s="78"/>
      <c r="I40" s="49">
        <v>2030</v>
      </c>
      <c r="J40" s="1">
        <f>IF(I40&gt;=Option_C2_Year,SUM(I102:M102),SUM(W120:AA120))</f>
        <v>38500.095401802115</v>
      </c>
      <c r="K40" s="1">
        <f t="shared" si="6"/>
        <v>36243.372294909568</v>
      </c>
      <c r="L40" s="1">
        <f>K40*Assumptions!$D$29</f>
        <v>309.1221677520918</v>
      </c>
      <c r="O40" s="78"/>
      <c r="P40" s="49">
        <v>2030</v>
      </c>
      <c r="Q40" s="1">
        <f>IF(P40&gt;=Option_C2_Year,SUM(P102:T102),SUM(AD120:AH120))</f>
        <v>12897.999292256587</v>
      </c>
      <c r="R40" s="1">
        <f t="shared" si="8"/>
        <v>36243.372294909568</v>
      </c>
      <c r="S40" s="1">
        <f>R40*Assumptions!$D$29</f>
        <v>309.1221677520918</v>
      </c>
    </row>
    <row r="41" spans="1:19" s="69" customFormat="1" x14ac:dyDescent="0.25">
      <c r="A41" s="78"/>
      <c r="B41" s="49">
        <v>2031</v>
      </c>
      <c r="C41" s="1">
        <f>IF(B41&gt;=Option_C2_Year,SUM(B103:F103),SUM(P121:T121))</f>
        <v>12290.749381445858</v>
      </c>
      <c r="D41" s="1">
        <f t="shared" si="4"/>
        <v>36243.372294909568</v>
      </c>
      <c r="E41" s="1">
        <f>D41*Assumptions!$D$29</f>
        <v>309.1221677520918</v>
      </c>
      <c r="H41" s="78"/>
      <c r="I41" s="49">
        <v>2031</v>
      </c>
      <c r="J41" s="1">
        <f>IF(I41&gt;=Option_C2_Year,SUM(I103:M103),SUM(W121:AA121))</f>
        <v>38336.620820497134</v>
      </c>
      <c r="K41" s="1">
        <f t="shared" si="6"/>
        <v>36243.372294909568</v>
      </c>
      <c r="L41" s="1">
        <f>K41*Assumptions!$D$29</f>
        <v>309.1221677520918</v>
      </c>
      <c r="O41" s="78"/>
      <c r="P41" s="49">
        <v>2031</v>
      </c>
      <c r="Q41" s="1">
        <f>IF(P41&gt;=Option_C2_Year,SUM(P103:T103),SUM(AD121:AH121))</f>
        <v>15206.925293340959</v>
      </c>
      <c r="R41" s="1">
        <f t="shared" si="8"/>
        <v>36243.372294909568</v>
      </c>
      <c r="S41" s="1">
        <f>R41*Assumptions!$D$29</f>
        <v>309.1221677520918</v>
      </c>
    </row>
    <row r="42" spans="1:19" s="69" customFormat="1" x14ac:dyDescent="0.25">
      <c r="A42" s="78"/>
      <c r="B42" s="49">
        <v>2032</v>
      </c>
      <c r="C42" s="1">
        <f>IF(B42&gt;=Option_C2_Year,SUM(B104:F104),SUM(P122:T122))</f>
        <v>18627.837246950861</v>
      </c>
      <c r="D42" s="1">
        <f t="shared" si="4"/>
        <v>36243.372294909568</v>
      </c>
      <c r="E42" s="1">
        <f>D42*Assumptions!$D$29</f>
        <v>309.1221677520918</v>
      </c>
      <c r="H42" s="78"/>
      <c r="I42" s="49">
        <v>2032</v>
      </c>
      <c r="J42" s="1">
        <f>IF(I42&gt;=Option_C2_Year,SUM(I104:M104),SUM(W122:AA122))</f>
        <v>42285.332014512474</v>
      </c>
      <c r="K42" s="1">
        <f t="shared" si="6"/>
        <v>36243.372294909568</v>
      </c>
      <c r="L42" s="1">
        <f>K42*Assumptions!$D$29</f>
        <v>309.1221677520918</v>
      </c>
      <c r="O42" s="78"/>
      <c r="P42" s="49">
        <v>2032</v>
      </c>
      <c r="Q42" s="1">
        <f>IF(P42&gt;=Option_C2_Year,SUM(P104:T104),SUM(AD122:AH122))</f>
        <v>12445.068482858376</v>
      </c>
      <c r="R42" s="1">
        <f t="shared" si="8"/>
        <v>36243.372294909568</v>
      </c>
      <c r="S42" s="1">
        <f>R42*Assumptions!$D$29</f>
        <v>309.1221677520918</v>
      </c>
    </row>
    <row r="43" spans="1:19" s="69" customFormat="1" x14ac:dyDescent="0.25">
      <c r="A43" s="79"/>
      <c r="B43" s="49" t="s">
        <v>35</v>
      </c>
      <c r="C43" s="1">
        <f>-PV($B$2,(Network_option_lifespan-(B42-Option_C2_Year)),AVERAGE(C40:C42),,0)</f>
        <v>212254.59700946871</v>
      </c>
      <c r="D43" s="1">
        <f>-PV($B$2,($B$4-COUNTIF(D30:D42,"&gt;"&amp;0)),$D$42,,0)</f>
        <v>436427.52923216217</v>
      </c>
      <c r="E43" s="1">
        <f>-PV($B$2,($B$4-COUNTIF(E30:E42,"&gt;"&amp;0)),$E$42,,0)</f>
        <v>3722.3198438927711</v>
      </c>
      <c r="H43" s="79"/>
      <c r="I43" s="49" t="s">
        <v>35</v>
      </c>
      <c r="J43" s="1">
        <f>-PV($B$2,(Network_option_lifespan-(I42-Option_C2_Year)),AVERAGE(J40:J42),,0)</f>
        <v>607767.55713382328</v>
      </c>
      <c r="K43" s="1">
        <f>-PV($B$2,($B$4-COUNTIF(K30:K42,"&gt;"&amp;0)),$K$42,,0)</f>
        <v>436427.52923216217</v>
      </c>
      <c r="L43" s="1">
        <f>-PV($B$2,($B$4-COUNTIF(L30:L42,"&gt;"&amp;0)),$L$42,,0)</f>
        <v>3722.3198438927711</v>
      </c>
      <c r="O43" s="79"/>
      <c r="P43" s="49" t="s">
        <v>35</v>
      </c>
      <c r="Q43" s="1">
        <f>-PV($B$2,(Network_option_lifespan-(P42-Option_C2_Year)),AVERAGE(Q40:Q42),,0)</f>
        <v>206888.40222101726</v>
      </c>
      <c r="R43" s="1">
        <f>-PV($B$2,($B$4-COUNTIF(R30:R42,"&gt;"&amp;0)),$R$42,,0)</f>
        <v>436427.52923216217</v>
      </c>
      <c r="S43" s="1">
        <f>-PV($B$2,($B$4-COUNTIF(S30:S42,"&gt;"&amp;0)),$S$42,,0)</f>
        <v>3722.3198438927711</v>
      </c>
    </row>
    <row r="44" spans="1:19" s="69" customFormat="1" x14ac:dyDescent="0.25"/>
    <row r="45" spans="1:19" s="69" customFormat="1" x14ac:dyDescent="0.25">
      <c r="A45" s="7" t="s">
        <v>63</v>
      </c>
    </row>
    <row r="46" spans="1:19" s="69" customFormat="1" x14ac:dyDescent="0.25">
      <c r="A46" s="44" t="str">
        <f>B6</f>
        <v>Neutral noIC</v>
      </c>
      <c r="B46" s="44"/>
      <c r="C46" s="73">
        <f>NPV($B$2,C48:C68)</f>
        <v>0</v>
      </c>
      <c r="D46" s="73">
        <f>NPV($B$2,D48:D68)</f>
        <v>0</v>
      </c>
      <c r="E46" s="73">
        <f>D46-C46</f>
        <v>0</v>
      </c>
      <c r="H46" s="44" t="str">
        <f>C6</f>
        <v>Commitited gens</v>
      </c>
      <c r="I46" s="44"/>
      <c r="J46" s="73">
        <f>NPV($B$2,J48:J69)</f>
        <v>118883.55231663062</v>
      </c>
      <c r="K46" s="73">
        <f>NPV($B$2,K48:K69)</f>
        <v>0</v>
      </c>
      <c r="L46" s="73">
        <f>J46-K46</f>
        <v>118883.55231663062</v>
      </c>
      <c r="O46" s="44" t="str">
        <f>A12</f>
        <v>Early coal retirement</v>
      </c>
      <c r="P46" s="44"/>
      <c r="Q46" s="73">
        <f>NPV($B$2,Q48:Q69)</f>
        <v>217616.42845348784</v>
      </c>
      <c r="R46" s="73">
        <f>NPV($B$2,R48:R68)</f>
        <v>0</v>
      </c>
      <c r="S46" s="73">
        <f>Q46-R46</f>
        <v>217616.42845348784</v>
      </c>
    </row>
    <row r="47" spans="1:19" s="69" customFormat="1" x14ac:dyDescent="0.25">
      <c r="A47" s="12" t="s">
        <v>0</v>
      </c>
      <c r="B47" s="12" t="s">
        <v>1</v>
      </c>
      <c r="C47" s="12" t="s">
        <v>57</v>
      </c>
      <c r="D47" s="12" t="s">
        <v>58</v>
      </c>
      <c r="E47" s="49" t="s">
        <v>59</v>
      </c>
      <c r="H47" s="12" t="s">
        <v>0</v>
      </c>
      <c r="I47" s="12" t="s">
        <v>1</v>
      </c>
      <c r="J47" s="12" t="s">
        <v>57</v>
      </c>
      <c r="K47" s="12" t="s">
        <v>58</v>
      </c>
      <c r="L47" s="49" t="s">
        <v>59</v>
      </c>
      <c r="O47" s="12" t="s">
        <v>0</v>
      </c>
      <c r="P47" s="12" t="s">
        <v>1</v>
      </c>
      <c r="Q47" s="12" t="s">
        <v>57</v>
      </c>
      <c r="R47" s="12" t="s">
        <v>58</v>
      </c>
      <c r="S47" s="49" t="s">
        <v>59</v>
      </c>
    </row>
    <row r="48" spans="1:19" s="69" customFormat="1" x14ac:dyDescent="0.25">
      <c r="A48" s="76" t="s">
        <v>9</v>
      </c>
      <c r="B48" s="12">
        <v>2020</v>
      </c>
      <c r="C48" s="1">
        <v>0</v>
      </c>
      <c r="D48" s="1">
        <v>0</v>
      </c>
      <c r="E48" s="1">
        <v>0</v>
      </c>
      <c r="H48" s="76" t="s">
        <v>9</v>
      </c>
      <c r="I48" s="12">
        <v>2020</v>
      </c>
      <c r="J48" s="1">
        <v>0</v>
      </c>
      <c r="K48" s="1">
        <v>0</v>
      </c>
      <c r="L48" s="1">
        <f>J48-K48</f>
        <v>0</v>
      </c>
      <c r="O48" s="76" t="s">
        <v>9</v>
      </c>
      <c r="P48" s="12">
        <v>2020</v>
      </c>
      <c r="Q48" s="1">
        <v>0</v>
      </c>
      <c r="R48" s="1">
        <v>0</v>
      </c>
      <c r="S48" s="1">
        <f>Q48-R48</f>
        <v>0</v>
      </c>
    </row>
    <row r="49" spans="1:19" s="69" customFormat="1" x14ac:dyDescent="0.25">
      <c r="A49" s="76" t="s">
        <v>9</v>
      </c>
      <c r="B49" s="49">
        <v>2021</v>
      </c>
      <c r="C49" s="1">
        <v>0</v>
      </c>
      <c r="D49" s="1">
        <v>0</v>
      </c>
      <c r="E49" s="1">
        <v>0</v>
      </c>
      <c r="H49" s="76" t="s">
        <v>9</v>
      </c>
      <c r="I49" s="49">
        <v>2021</v>
      </c>
      <c r="J49" s="1">
        <v>0</v>
      </c>
      <c r="K49" s="1">
        <v>0</v>
      </c>
      <c r="L49" s="1">
        <f t="shared" ref="L49:L69" si="9">J49-K49</f>
        <v>0</v>
      </c>
      <c r="O49" s="76" t="s">
        <v>9</v>
      </c>
      <c r="P49" s="49">
        <v>2021</v>
      </c>
      <c r="Q49" s="1">
        <v>0</v>
      </c>
      <c r="R49" s="1">
        <v>0</v>
      </c>
      <c r="S49" s="1">
        <f t="shared" ref="S49:S69" si="10">Q49-R49</f>
        <v>0</v>
      </c>
    </row>
    <row r="50" spans="1:19" s="69" customFormat="1" x14ac:dyDescent="0.25">
      <c r="A50" s="76"/>
      <c r="B50" s="49">
        <v>2022</v>
      </c>
      <c r="C50" s="1">
        <v>0</v>
      </c>
      <c r="D50" s="1">
        <v>0</v>
      </c>
      <c r="E50" s="1">
        <v>0</v>
      </c>
      <c r="H50" s="76"/>
      <c r="I50" s="49">
        <v>2022</v>
      </c>
      <c r="J50" s="1">
        <v>0</v>
      </c>
      <c r="K50" s="1">
        <v>0</v>
      </c>
      <c r="L50" s="1">
        <f t="shared" si="9"/>
        <v>0</v>
      </c>
      <c r="O50" s="76"/>
      <c r="P50" s="49">
        <v>2022</v>
      </c>
      <c r="Q50" s="1">
        <v>0</v>
      </c>
      <c r="R50" s="1">
        <v>0</v>
      </c>
      <c r="S50" s="1">
        <f t="shared" si="10"/>
        <v>0</v>
      </c>
    </row>
    <row r="51" spans="1:19" s="69" customFormat="1" x14ac:dyDescent="0.25">
      <c r="A51" s="76"/>
      <c r="B51" s="49">
        <v>2023</v>
      </c>
      <c r="C51" s="1">
        <v>0</v>
      </c>
      <c r="D51" s="1">
        <v>0</v>
      </c>
      <c r="E51" s="1">
        <v>0</v>
      </c>
      <c r="H51" s="76"/>
      <c r="I51" s="49">
        <v>2023</v>
      </c>
      <c r="J51" s="1">
        <v>0</v>
      </c>
      <c r="K51" s="1">
        <v>0</v>
      </c>
      <c r="L51" s="1">
        <f t="shared" si="9"/>
        <v>0</v>
      </c>
      <c r="O51" s="76"/>
      <c r="P51" s="49">
        <v>2023</v>
      </c>
      <c r="Q51" s="1">
        <v>0</v>
      </c>
      <c r="R51" s="1">
        <v>0</v>
      </c>
      <c r="S51" s="1">
        <f t="shared" si="10"/>
        <v>0</v>
      </c>
    </row>
    <row r="52" spans="1:19" s="69" customFormat="1" x14ac:dyDescent="0.25">
      <c r="A52" s="76"/>
      <c r="B52" s="49">
        <v>2024</v>
      </c>
      <c r="C52" s="1">
        <v>0</v>
      </c>
      <c r="D52" s="1">
        <v>0</v>
      </c>
      <c r="E52" s="1">
        <v>0</v>
      </c>
      <c r="H52" s="76"/>
      <c r="I52" s="49">
        <v>2024</v>
      </c>
      <c r="J52" s="1">
        <v>0</v>
      </c>
      <c r="K52" s="1">
        <v>0</v>
      </c>
      <c r="L52" s="1">
        <f t="shared" si="9"/>
        <v>0</v>
      </c>
      <c r="O52" s="76"/>
      <c r="P52" s="49">
        <v>2024</v>
      </c>
      <c r="Q52" s="1">
        <v>0</v>
      </c>
      <c r="R52" s="1">
        <v>0</v>
      </c>
      <c r="S52" s="1">
        <f t="shared" si="10"/>
        <v>0</v>
      </c>
    </row>
    <row r="53" spans="1:19" s="69" customFormat="1" x14ac:dyDescent="0.25">
      <c r="A53" s="76"/>
      <c r="B53" s="49">
        <v>2025</v>
      </c>
      <c r="C53" s="1">
        <v>0</v>
      </c>
      <c r="D53" s="1">
        <v>0</v>
      </c>
      <c r="E53" s="1">
        <v>0</v>
      </c>
      <c r="H53" s="76"/>
      <c r="I53" s="49">
        <v>2025</v>
      </c>
      <c r="J53" s="1">
        <v>0</v>
      </c>
      <c r="K53" s="1">
        <v>0</v>
      </c>
      <c r="L53" s="1">
        <f t="shared" si="9"/>
        <v>0</v>
      </c>
      <c r="O53" s="76"/>
      <c r="P53" s="49">
        <v>2025</v>
      </c>
      <c r="Q53" s="1">
        <f t="shared" ref="Q53:Q68" si="11">-PMT($B$2,Network_payment_duration_years,$B$3*Snowylink_BringForwardcost/(Snowylink_BringForwardcost+Option_C2_PresentCost),,0)</f>
        <v>21480.000830990677</v>
      </c>
      <c r="R53" s="1">
        <v>0</v>
      </c>
      <c r="S53" s="1">
        <f t="shared" si="10"/>
        <v>21480.000830990677</v>
      </c>
    </row>
    <row r="54" spans="1:19" s="69" customFormat="1" x14ac:dyDescent="0.25">
      <c r="A54" s="76"/>
      <c r="B54" s="49">
        <v>2026</v>
      </c>
      <c r="C54" s="1">
        <v>0</v>
      </c>
      <c r="D54" s="1">
        <v>0</v>
      </c>
      <c r="E54" s="1">
        <v>0</v>
      </c>
      <c r="H54" s="76"/>
      <c r="I54" s="49">
        <v>2026</v>
      </c>
      <c r="J54" s="1">
        <v>0</v>
      </c>
      <c r="K54" s="1">
        <v>0</v>
      </c>
      <c r="L54" s="1">
        <f t="shared" si="9"/>
        <v>0</v>
      </c>
      <c r="O54" s="76"/>
      <c r="P54" s="49">
        <v>2026</v>
      </c>
      <c r="Q54" s="1">
        <f t="shared" si="11"/>
        <v>21480.000830990677</v>
      </c>
      <c r="R54" s="1">
        <v>0</v>
      </c>
      <c r="S54" s="1">
        <f t="shared" si="10"/>
        <v>21480.000830990677</v>
      </c>
    </row>
    <row r="55" spans="1:19" s="69" customFormat="1" x14ac:dyDescent="0.25">
      <c r="A55" s="76"/>
      <c r="B55" s="49">
        <v>2027</v>
      </c>
      <c r="C55" s="1">
        <v>0</v>
      </c>
      <c r="D55" s="1">
        <v>0</v>
      </c>
      <c r="E55" s="1">
        <v>0</v>
      </c>
      <c r="H55" s="76"/>
      <c r="I55" s="49">
        <v>2027</v>
      </c>
      <c r="J55" s="1">
        <v>0</v>
      </c>
      <c r="K55" s="1">
        <v>0</v>
      </c>
      <c r="L55" s="1">
        <f t="shared" si="9"/>
        <v>0</v>
      </c>
      <c r="O55" s="76"/>
      <c r="P55" s="49">
        <v>2027</v>
      </c>
      <c r="Q55" s="1">
        <f t="shared" si="11"/>
        <v>21480.000830990677</v>
      </c>
      <c r="R55" s="1">
        <v>0</v>
      </c>
      <c r="S55" s="1">
        <f t="shared" si="10"/>
        <v>21480.000830990677</v>
      </c>
    </row>
    <row r="56" spans="1:19" s="69" customFormat="1" x14ac:dyDescent="0.25">
      <c r="A56" s="76"/>
      <c r="B56" s="49">
        <v>2028</v>
      </c>
      <c r="C56" s="1">
        <v>0</v>
      </c>
      <c r="D56" s="1">
        <v>0</v>
      </c>
      <c r="E56" s="1">
        <v>0</v>
      </c>
      <c r="H56" s="76"/>
      <c r="I56" s="49">
        <v>2028</v>
      </c>
      <c r="J56" s="1">
        <v>0</v>
      </c>
      <c r="K56" s="1">
        <v>0</v>
      </c>
      <c r="L56" s="1">
        <f t="shared" si="9"/>
        <v>0</v>
      </c>
      <c r="O56" s="76"/>
      <c r="P56" s="49">
        <v>2028</v>
      </c>
      <c r="Q56" s="1">
        <f t="shared" si="11"/>
        <v>21480.000830990677</v>
      </c>
      <c r="R56" s="1">
        <v>0</v>
      </c>
      <c r="S56" s="1">
        <f t="shared" si="10"/>
        <v>21480.000830990677</v>
      </c>
    </row>
    <row r="57" spans="1:19" s="69" customFormat="1" x14ac:dyDescent="0.25">
      <c r="A57" s="76"/>
      <c r="B57" s="49">
        <v>2029</v>
      </c>
      <c r="C57" s="1">
        <v>0</v>
      </c>
      <c r="D57" s="1">
        <v>0</v>
      </c>
      <c r="E57" s="1">
        <v>0</v>
      </c>
      <c r="H57" s="76"/>
      <c r="I57" s="49">
        <v>2029</v>
      </c>
      <c r="J57" s="1">
        <v>0</v>
      </c>
      <c r="K57" s="1">
        <v>0</v>
      </c>
      <c r="L57" s="1">
        <f t="shared" si="9"/>
        <v>0</v>
      </c>
      <c r="O57" s="76"/>
      <c r="P57" s="49">
        <v>2029</v>
      </c>
      <c r="Q57" s="1">
        <f t="shared" si="11"/>
        <v>21480.000830990677</v>
      </c>
      <c r="R57" s="1">
        <v>0</v>
      </c>
      <c r="S57" s="1">
        <f t="shared" si="10"/>
        <v>21480.000830990677</v>
      </c>
    </row>
    <row r="58" spans="1:19" s="69" customFormat="1" x14ac:dyDescent="0.25">
      <c r="A58" s="76"/>
      <c r="B58" s="49">
        <v>2030</v>
      </c>
      <c r="C58" s="1">
        <v>0</v>
      </c>
      <c r="D58" s="1">
        <v>0</v>
      </c>
      <c r="E58" s="1">
        <v>0</v>
      </c>
      <c r="H58" s="76"/>
      <c r="I58" s="49">
        <v>2030</v>
      </c>
      <c r="J58" s="1">
        <v>0</v>
      </c>
      <c r="K58" s="1">
        <v>0</v>
      </c>
      <c r="L58" s="1">
        <f t="shared" si="9"/>
        <v>0</v>
      </c>
      <c r="O58" s="76"/>
      <c r="P58" s="49">
        <v>2030</v>
      </c>
      <c r="Q58" s="1">
        <f t="shared" si="11"/>
        <v>21480.000830990677</v>
      </c>
      <c r="R58" s="1">
        <v>0</v>
      </c>
      <c r="S58" s="1">
        <f t="shared" si="10"/>
        <v>21480.000830990677</v>
      </c>
    </row>
    <row r="59" spans="1:19" s="69" customFormat="1" x14ac:dyDescent="0.25">
      <c r="A59" s="76"/>
      <c r="B59" s="49">
        <v>2031</v>
      </c>
      <c r="C59" s="1">
        <v>0</v>
      </c>
      <c r="D59" s="1">
        <v>0</v>
      </c>
      <c r="E59" s="1">
        <v>0</v>
      </c>
      <c r="H59" s="76"/>
      <c r="I59" s="49">
        <v>2031</v>
      </c>
      <c r="J59" s="1">
        <v>0</v>
      </c>
      <c r="K59" s="1">
        <v>0</v>
      </c>
      <c r="L59" s="1">
        <f t="shared" si="9"/>
        <v>0</v>
      </c>
      <c r="O59" s="76"/>
      <c r="P59" s="49">
        <v>2031</v>
      </c>
      <c r="Q59" s="1">
        <f t="shared" si="11"/>
        <v>21480.000830990677</v>
      </c>
      <c r="R59" s="1">
        <v>0</v>
      </c>
      <c r="S59" s="1">
        <f t="shared" si="10"/>
        <v>21480.000830990677</v>
      </c>
    </row>
    <row r="60" spans="1:19" s="69" customFormat="1" x14ac:dyDescent="0.25">
      <c r="A60" s="76"/>
      <c r="B60" s="49">
        <v>2032</v>
      </c>
      <c r="C60" s="1">
        <v>0</v>
      </c>
      <c r="D60" s="1">
        <v>0</v>
      </c>
      <c r="E60" s="1">
        <v>0</v>
      </c>
      <c r="H60" s="76"/>
      <c r="I60" s="49">
        <v>2032</v>
      </c>
      <c r="J60" s="1">
        <v>0</v>
      </c>
      <c r="K60" s="1">
        <v>0</v>
      </c>
      <c r="L60" s="1">
        <f t="shared" si="9"/>
        <v>0</v>
      </c>
      <c r="O60" s="76"/>
      <c r="P60" s="49">
        <v>2032</v>
      </c>
      <c r="Q60" s="1">
        <f t="shared" si="11"/>
        <v>21480.000830990677</v>
      </c>
      <c r="R60" s="1">
        <v>0</v>
      </c>
      <c r="S60" s="1">
        <f t="shared" si="10"/>
        <v>21480.000830990677</v>
      </c>
    </row>
    <row r="61" spans="1:19" s="69" customFormat="1" x14ac:dyDescent="0.25">
      <c r="A61" s="76"/>
      <c r="B61" s="49">
        <v>2033</v>
      </c>
      <c r="C61" s="1">
        <v>0</v>
      </c>
      <c r="D61" s="1">
        <v>0</v>
      </c>
      <c r="E61" s="1">
        <v>0</v>
      </c>
      <c r="H61" s="76"/>
      <c r="I61" s="49">
        <v>2033</v>
      </c>
      <c r="J61" s="1">
        <v>0</v>
      </c>
      <c r="K61" s="1">
        <v>0</v>
      </c>
      <c r="L61" s="1">
        <f t="shared" si="9"/>
        <v>0</v>
      </c>
      <c r="O61" s="76"/>
      <c r="P61" s="49">
        <v>2033</v>
      </c>
      <c r="Q61" s="1">
        <f t="shared" si="11"/>
        <v>21480.000830990677</v>
      </c>
      <c r="R61" s="1">
        <v>0</v>
      </c>
      <c r="S61" s="1">
        <f t="shared" si="10"/>
        <v>21480.000830990677</v>
      </c>
    </row>
    <row r="62" spans="1:19" s="69" customFormat="1" x14ac:dyDescent="0.25">
      <c r="A62" s="76"/>
      <c r="B62" s="49">
        <v>2034</v>
      </c>
      <c r="C62" s="1">
        <v>0</v>
      </c>
      <c r="D62" s="1">
        <v>0</v>
      </c>
      <c r="E62" s="1">
        <v>0</v>
      </c>
      <c r="H62" s="76"/>
      <c r="I62" s="49">
        <v>2034</v>
      </c>
      <c r="J62" s="1">
        <v>0</v>
      </c>
      <c r="K62" s="1">
        <v>0</v>
      </c>
      <c r="L62" s="1">
        <f t="shared" si="9"/>
        <v>0</v>
      </c>
      <c r="O62" s="76"/>
      <c r="P62" s="49">
        <v>2034</v>
      </c>
      <c r="Q62" s="1">
        <f t="shared" si="11"/>
        <v>21480.000830990677</v>
      </c>
      <c r="R62" s="1">
        <v>0</v>
      </c>
      <c r="S62" s="1">
        <f t="shared" si="10"/>
        <v>21480.000830990677</v>
      </c>
    </row>
    <row r="63" spans="1:19" s="69" customFormat="1" x14ac:dyDescent="0.25">
      <c r="A63" s="76"/>
      <c r="B63" s="49">
        <v>2035</v>
      </c>
      <c r="C63" s="1">
        <v>0</v>
      </c>
      <c r="D63" s="1">
        <v>0</v>
      </c>
      <c r="E63" s="1">
        <v>0</v>
      </c>
      <c r="H63" s="76"/>
      <c r="I63" s="49">
        <v>2035</v>
      </c>
      <c r="J63" s="1">
        <f t="shared" ref="J63:J68" si="12">-PMT($B$2,Network_payment_duration_years,$B$3*Snowylink_BringForwardcost/(Snowylink_BringForwardcost+Option_C2_PresentCost),,0)</f>
        <v>21480.000830990677</v>
      </c>
      <c r="K63" s="1">
        <v>0</v>
      </c>
      <c r="L63" s="1">
        <f t="shared" si="9"/>
        <v>21480.000830990677</v>
      </c>
      <c r="O63" s="76"/>
      <c r="P63" s="49">
        <v>2035</v>
      </c>
      <c r="Q63" s="1">
        <f t="shared" si="11"/>
        <v>21480.000830990677</v>
      </c>
      <c r="R63" s="1">
        <v>0</v>
      </c>
      <c r="S63" s="1">
        <f t="shared" si="10"/>
        <v>21480.000830990677</v>
      </c>
    </row>
    <row r="64" spans="1:19" s="69" customFormat="1" x14ac:dyDescent="0.25">
      <c r="A64" s="76"/>
      <c r="B64" s="49">
        <v>2036</v>
      </c>
      <c r="C64" s="1">
        <v>0</v>
      </c>
      <c r="D64" s="1">
        <v>0</v>
      </c>
      <c r="E64" s="1">
        <v>0</v>
      </c>
      <c r="H64" s="76"/>
      <c r="I64" s="49">
        <v>2036</v>
      </c>
      <c r="J64" s="1">
        <f t="shared" si="12"/>
        <v>21480.000830990677</v>
      </c>
      <c r="K64" s="1">
        <v>0</v>
      </c>
      <c r="L64" s="1">
        <f t="shared" si="9"/>
        <v>21480.000830990677</v>
      </c>
      <c r="O64" s="76"/>
      <c r="P64" s="49">
        <v>2036</v>
      </c>
      <c r="Q64" s="1">
        <f t="shared" si="11"/>
        <v>21480.000830990677</v>
      </c>
      <c r="R64" s="1">
        <v>0</v>
      </c>
      <c r="S64" s="1">
        <f t="shared" si="10"/>
        <v>21480.000830990677</v>
      </c>
    </row>
    <row r="65" spans="1:19" s="69" customFormat="1" x14ac:dyDescent="0.25">
      <c r="A65" s="76"/>
      <c r="B65" s="49">
        <v>2037</v>
      </c>
      <c r="C65" s="1">
        <v>0</v>
      </c>
      <c r="D65" s="1">
        <v>0</v>
      </c>
      <c r="E65" s="1">
        <v>0</v>
      </c>
      <c r="H65" s="76"/>
      <c r="I65" s="49">
        <v>2037</v>
      </c>
      <c r="J65" s="1">
        <f t="shared" si="12"/>
        <v>21480.000830990677</v>
      </c>
      <c r="K65" s="1">
        <v>0</v>
      </c>
      <c r="L65" s="1">
        <f t="shared" si="9"/>
        <v>21480.000830990677</v>
      </c>
      <c r="O65" s="76"/>
      <c r="P65" s="49">
        <v>2037</v>
      </c>
      <c r="Q65" s="1">
        <f t="shared" si="11"/>
        <v>21480.000830990677</v>
      </c>
      <c r="R65" s="1">
        <v>0</v>
      </c>
      <c r="S65" s="1">
        <f t="shared" si="10"/>
        <v>21480.000830990677</v>
      </c>
    </row>
    <row r="66" spans="1:19" s="69" customFormat="1" x14ac:dyDescent="0.25">
      <c r="A66" s="76"/>
      <c r="B66" s="49">
        <v>2038</v>
      </c>
      <c r="C66" s="1">
        <v>0</v>
      </c>
      <c r="D66" s="1">
        <v>0</v>
      </c>
      <c r="E66" s="1">
        <v>0</v>
      </c>
      <c r="H66" s="76"/>
      <c r="I66" s="49">
        <v>2038</v>
      </c>
      <c r="J66" s="1">
        <f t="shared" si="12"/>
        <v>21480.000830990677</v>
      </c>
      <c r="K66" s="1">
        <v>0</v>
      </c>
      <c r="L66" s="1">
        <f t="shared" si="9"/>
        <v>21480.000830990677</v>
      </c>
      <c r="O66" s="76"/>
      <c r="P66" s="49">
        <v>2038</v>
      </c>
      <c r="Q66" s="1">
        <f t="shared" si="11"/>
        <v>21480.000830990677</v>
      </c>
      <c r="R66" s="1">
        <v>0</v>
      </c>
      <c r="S66" s="1">
        <f t="shared" si="10"/>
        <v>21480.000830990677</v>
      </c>
    </row>
    <row r="67" spans="1:19" s="69" customFormat="1" x14ac:dyDescent="0.25">
      <c r="A67" s="76"/>
      <c r="B67" s="49">
        <v>2039</v>
      </c>
      <c r="C67" s="1">
        <v>0</v>
      </c>
      <c r="D67" s="1">
        <v>0</v>
      </c>
      <c r="E67" s="1">
        <v>0</v>
      </c>
      <c r="H67" s="76"/>
      <c r="I67" s="49">
        <v>2039</v>
      </c>
      <c r="J67" s="1">
        <f t="shared" si="12"/>
        <v>21480.000830990677</v>
      </c>
      <c r="K67" s="1">
        <v>0</v>
      </c>
      <c r="L67" s="1">
        <f t="shared" si="9"/>
        <v>21480.000830990677</v>
      </c>
      <c r="O67" s="76"/>
      <c r="P67" s="49">
        <v>2039</v>
      </c>
      <c r="Q67" s="1">
        <f t="shared" si="11"/>
        <v>21480.000830990677</v>
      </c>
      <c r="R67" s="1">
        <v>0</v>
      </c>
      <c r="S67" s="1">
        <f t="shared" si="10"/>
        <v>21480.000830990677</v>
      </c>
    </row>
    <row r="68" spans="1:19" s="69" customFormat="1" x14ac:dyDescent="0.25">
      <c r="A68" s="76"/>
      <c r="B68" s="49">
        <v>2040</v>
      </c>
      <c r="C68" s="1">
        <v>0</v>
      </c>
      <c r="D68" s="1">
        <v>0</v>
      </c>
      <c r="E68" s="1">
        <v>0</v>
      </c>
      <c r="H68" s="76"/>
      <c r="I68" s="49">
        <v>2040</v>
      </c>
      <c r="J68" s="1">
        <f t="shared" si="12"/>
        <v>21480.000830990677</v>
      </c>
      <c r="K68" s="1">
        <v>0</v>
      </c>
      <c r="L68" s="1">
        <f t="shared" si="9"/>
        <v>21480.000830990677</v>
      </c>
      <c r="O68" s="76"/>
      <c r="P68" s="49">
        <v>2040</v>
      </c>
      <c r="Q68" s="1">
        <f t="shared" si="11"/>
        <v>21480.000830990677</v>
      </c>
      <c r="R68" s="1">
        <v>0</v>
      </c>
      <c r="S68" s="1">
        <f t="shared" si="10"/>
        <v>21480.000830990677</v>
      </c>
    </row>
    <row r="69" spans="1:19" s="69" customFormat="1" x14ac:dyDescent="0.25">
      <c r="A69" s="76"/>
      <c r="B69" s="49" t="s">
        <v>60</v>
      </c>
      <c r="C69" s="1">
        <v>0</v>
      </c>
      <c r="D69" s="1">
        <v>0</v>
      </c>
      <c r="E69" s="1">
        <v>0</v>
      </c>
      <c r="H69" s="76"/>
      <c r="I69" s="49" t="s">
        <v>60</v>
      </c>
      <c r="J69" s="1">
        <v>269581.69012561196</v>
      </c>
      <c r="K69" s="1">
        <v>0</v>
      </c>
      <c r="L69" s="1">
        <f t="shared" si="9"/>
        <v>269581.69012561196</v>
      </c>
      <c r="O69" s="76"/>
      <c r="P69" s="49" t="s">
        <v>60</v>
      </c>
      <c r="Q69" s="1">
        <f>-PV($B$2,($B$4-(P68+1-P53)),Q68,,0)</f>
        <v>199656.26247612209</v>
      </c>
      <c r="R69" s="1">
        <f>-PV($B$2,($B$4-(P68+1-P53)),R68,,0)</f>
        <v>0</v>
      </c>
      <c r="S69" s="1">
        <f t="shared" si="10"/>
        <v>199656.26247612209</v>
      </c>
    </row>
    <row r="70" spans="1:19" s="69" customFormat="1" x14ac:dyDescent="0.25">
      <c r="A70" s="40"/>
      <c r="B70" s="57"/>
      <c r="C70" s="3"/>
      <c r="D70" s="3"/>
      <c r="E70" s="3"/>
      <c r="H70" s="40"/>
      <c r="I70" s="57"/>
      <c r="J70" s="3"/>
      <c r="K70" s="3"/>
      <c r="L70" s="3"/>
      <c r="O70" s="40"/>
      <c r="P70" s="57"/>
      <c r="Q70" s="3"/>
      <c r="R70" s="3"/>
      <c r="S70" s="3"/>
    </row>
    <row r="71" spans="1:19" s="69" customFormat="1" x14ac:dyDescent="0.25">
      <c r="A71" s="64" t="s">
        <v>64</v>
      </c>
      <c r="B71" s="57"/>
      <c r="C71" s="3"/>
      <c r="D71" s="3"/>
      <c r="E71" s="3"/>
      <c r="H71" s="64"/>
      <c r="I71" s="57"/>
      <c r="J71" s="3"/>
      <c r="K71" s="3"/>
      <c r="L71" s="3"/>
    </row>
    <row r="72" spans="1:19" s="69" customFormat="1" x14ac:dyDescent="0.25">
      <c r="A72" s="44" t="str">
        <f>B6</f>
        <v>Neutral noIC</v>
      </c>
      <c r="B72" s="44"/>
      <c r="C72" s="65">
        <f>NPV($B$2,C74:C87)</f>
        <v>339787.0709082773</v>
      </c>
      <c r="E72" s="38"/>
      <c r="H72" s="44" t="str">
        <f>C6</f>
        <v>Commitited gens</v>
      </c>
      <c r="I72" s="44"/>
      <c r="J72" s="65">
        <f>NPV($B$2,J74:J87)</f>
        <v>6511.1567061002324</v>
      </c>
      <c r="L72" s="38"/>
      <c r="O72" s="44" t="s">
        <v>54</v>
      </c>
      <c r="P72" s="44"/>
      <c r="Q72" s="65">
        <f>NPV($B$2,Q74:Q87)</f>
        <v>262308.57251612371</v>
      </c>
    </row>
    <row r="73" spans="1:19" s="69" customFormat="1" x14ac:dyDescent="0.25">
      <c r="A73" s="12" t="s">
        <v>0</v>
      </c>
      <c r="B73" s="12" t="s">
        <v>1</v>
      </c>
      <c r="C73" s="12" t="s">
        <v>4</v>
      </c>
      <c r="D73" s="70"/>
      <c r="E73" s="57"/>
      <c r="F73" s="70"/>
      <c r="H73" s="12" t="s">
        <v>0</v>
      </c>
      <c r="I73" s="12" t="s">
        <v>1</v>
      </c>
      <c r="J73" s="12" t="s">
        <v>4</v>
      </c>
      <c r="K73" s="70"/>
      <c r="L73" s="57"/>
      <c r="M73" s="70"/>
      <c r="O73" s="12" t="s">
        <v>0</v>
      </c>
      <c r="P73" s="12" t="s">
        <v>1</v>
      </c>
      <c r="Q73" s="12" t="s">
        <v>4</v>
      </c>
    </row>
    <row r="74" spans="1:19" s="69" customFormat="1" x14ac:dyDescent="0.25">
      <c r="A74" s="76" t="s">
        <v>9</v>
      </c>
      <c r="B74" s="49">
        <v>2020</v>
      </c>
      <c r="C74" s="1">
        <v>-3818.2206315519807</v>
      </c>
      <c r="D74" s="58"/>
      <c r="E74" s="3"/>
      <c r="F74" s="58"/>
      <c r="H74" s="76" t="s">
        <v>9</v>
      </c>
      <c r="I74" s="49">
        <v>2020</v>
      </c>
      <c r="J74" s="1">
        <v>-3818.2206315520089</v>
      </c>
      <c r="K74" s="58"/>
      <c r="L74" s="3"/>
      <c r="M74" s="58"/>
      <c r="O74" s="76" t="s">
        <v>9</v>
      </c>
      <c r="P74" s="49">
        <v>2020</v>
      </c>
      <c r="Q74" s="1">
        <v>-3852.208726500578</v>
      </c>
    </row>
    <row r="75" spans="1:19" s="69" customFormat="1" x14ac:dyDescent="0.25">
      <c r="A75" s="76"/>
      <c r="B75" s="49">
        <v>2021</v>
      </c>
      <c r="C75" s="1">
        <v>21353.461754340686</v>
      </c>
      <c r="D75" s="45"/>
      <c r="E75" s="3"/>
      <c r="F75" s="45"/>
      <c r="H75" s="76"/>
      <c r="I75" s="49">
        <v>2021</v>
      </c>
      <c r="J75" s="1">
        <v>-3818.2206315520089</v>
      </c>
      <c r="K75" s="45"/>
      <c r="L75" s="3"/>
      <c r="M75" s="45"/>
      <c r="O75" s="76"/>
      <c r="P75" s="49">
        <v>2021</v>
      </c>
      <c r="Q75" s="1">
        <v>21319.47365939209</v>
      </c>
    </row>
    <row r="76" spans="1:19" s="69" customFormat="1" x14ac:dyDescent="0.25">
      <c r="A76" s="76"/>
      <c r="B76" s="49">
        <v>2022</v>
      </c>
      <c r="C76" s="1">
        <v>39107.430227171906</v>
      </c>
      <c r="D76" s="45"/>
      <c r="E76" s="3"/>
      <c r="F76" s="45"/>
      <c r="H76" s="76"/>
      <c r="I76" s="49">
        <v>2022</v>
      </c>
      <c r="J76" s="1">
        <v>-3818.2206315520089</v>
      </c>
      <c r="K76" s="45"/>
      <c r="L76" s="3"/>
      <c r="M76" s="45"/>
      <c r="O76" s="76"/>
      <c r="P76" s="49">
        <v>2022</v>
      </c>
      <c r="Q76" s="1">
        <v>39073.442132223303</v>
      </c>
    </row>
    <row r="77" spans="1:19" s="69" customFormat="1" x14ac:dyDescent="0.25">
      <c r="A77" s="76"/>
      <c r="B77" s="49">
        <v>2023</v>
      </c>
      <c r="C77" s="1">
        <v>92916.99229363905</v>
      </c>
      <c r="D77" s="68"/>
      <c r="E77" s="3"/>
      <c r="F77" s="68"/>
      <c r="H77" s="76"/>
      <c r="I77" s="49">
        <v>2023</v>
      </c>
      <c r="J77" s="1">
        <v>-17387.366995531778</v>
      </c>
      <c r="K77" s="68"/>
      <c r="L77" s="3"/>
      <c r="M77" s="68"/>
      <c r="O77" s="76"/>
      <c r="P77" s="49">
        <v>2023</v>
      </c>
      <c r="Q77" s="1">
        <v>92988.358943066196</v>
      </c>
    </row>
    <row r="78" spans="1:19" s="69" customFormat="1" x14ac:dyDescent="0.25">
      <c r="A78" s="76"/>
      <c r="B78" s="49">
        <v>2024</v>
      </c>
      <c r="C78" s="1">
        <v>9899.760168110106</v>
      </c>
      <c r="E78" s="3"/>
      <c r="H78" s="76"/>
      <c r="I78" s="49">
        <v>2024</v>
      </c>
      <c r="J78" s="1">
        <v>-17387.366995531778</v>
      </c>
      <c r="L78" s="3"/>
      <c r="O78" s="76"/>
      <c r="P78" s="49">
        <v>2024</v>
      </c>
      <c r="Q78" s="1">
        <v>25100.167744978535</v>
      </c>
    </row>
    <row r="79" spans="1:19" s="69" customFormat="1" x14ac:dyDescent="0.25">
      <c r="A79" s="76"/>
      <c r="B79" s="49">
        <v>2025</v>
      </c>
      <c r="C79" s="1">
        <v>59306.780322415536</v>
      </c>
      <c r="E79" s="3"/>
      <c r="H79" s="76"/>
      <c r="I79" s="49">
        <v>2025</v>
      </c>
      <c r="J79" s="1">
        <v>29802.553640532835</v>
      </c>
      <c r="L79" s="3"/>
      <c r="O79" s="76"/>
      <c r="P79" s="49">
        <v>2025</v>
      </c>
      <c r="Q79" s="1">
        <v>23252.192830966349</v>
      </c>
    </row>
    <row r="80" spans="1:19" s="69" customFormat="1" x14ac:dyDescent="0.25">
      <c r="A80" s="76"/>
      <c r="B80" s="49">
        <v>2026</v>
      </c>
      <c r="C80" s="1">
        <v>50405.493790375433</v>
      </c>
      <c r="E80" s="3"/>
      <c r="H80" s="76"/>
      <c r="I80" s="49">
        <v>2026</v>
      </c>
      <c r="J80" s="1">
        <v>20901.267108492731</v>
      </c>
      <c r="L80" s="3"/>
      <c r="O80" s="76"/>
      <c r="P80" s="49">
        <v>2026</v>
      </c>
      <c r="Q80" s="1">
        <v>25768.732264175924</v>
      </c>
    </row>
    <row r="81" spans="1:20" s="69" customFormat="1" x14ac:dyDescent="0.25">
      <c r="A81" s="76"/>
      <c r="B81" s="49">
        <v>2027</v>
      </c>
      <c r="C81" s="1">
        <v>50435.62743414077</v>
      </c>
      <c r="E81" s="3"/>
      <c r="H81" s="76"/>
      <c r="I81" s="49">
        <v>2027</v>
      </c>
      <c r="J81" s="1">
        <v>20931.400752258014</v>
      </c>
      <c r="L81" s="3"/>
      <c r="O81" s="76"/>
      <c r="P81" s="49">
        <v>2027</v>
      </c>
      <c r="Q81" s="1">
        <v>25968.847493918474</v>
      </c>
    </row>
    <row r="82" spans="1:20" s="69" customFormat="1" x14ac:dyDescent="0.25">
      <c r="A82" s="76"/>
      <c r="B82" s="49">
        <v>2028</v>
      </c>
      <c r="C82" s="1">
        <v>50334.655582910957</v>
      </c>
      <c r="E82" s="3"/>
      <c r="H82" s="76"/>
      <c r="I82" s="49">
        <v>2028</v>
      </c>
      <c r="J82" s="1">
        <v>20830.428901028314</v>
      </c>
      <c r="L82" s="3"/>
      <c r="O82" s="76"/>
      <c r="P82" s="49">
        <v>2028</v>
      </c>
      <c r="Q82" s="1">
        <v>25970.129252064908</v>
      </c>
    </row>
    <row r="83" spans="1:20" s="69" customFormat="1" x14ac:dyDescent="0.25">
      <c r="A83" s="76"/>
      <c r="B83" s="49">
        <v>2029</v>
      </c>
      <c r="C83" s="1">
        <v>39034.93866868507</v>
      </c>
      <c r="E83" s="3"/>
      <c r="H83" s="76"/>
      <c r="I83" s="49">
        <v>2029</v>
      </c>
      <c r="J83" s="1">
        <v>9530.7119868025438</v>
      </c>
      <c r="L83" s="3"/>
      <c r="O83" s="76"/>
      <c r="P83" s="49">
        <v>2029</v>
      </c>
      <c r="Q83" s="1">
        <v>22195.937224442103</v>
      </c>
    </row>
    <row r="84" spans="1:20" s="69" customFormat="1" x14ac:dyDescent="0.25">
      <c r="A84" s="76"/>
      <c r="B84" s="49">
        <v>2030</v>
      </c>
      <c r="C84" s="1">
        <v>18123.379407871198</v>
      </c>
      <c r="E84" s="3"/>
      <c r="H84" s="76"/>
      <c r="I84" s="49">
        <v>2030</v>
      </c>
      <c r="J84" s="1">
        <v>-11380.847274011216</v>
      </c>
      <c r="L84" s="3"/>
      <c r="O84" s="76"/>
      <c r="P84" s="49">
        <v>2030</v>
      </c>
      <c r="Q84" s="1">
        <v>14194.282374997783</v>
      </c>
    </row>
    <row r="85" spans="1:20" s="69" customFormat="1" x14ac:dyDescent="0.25">
      <c r="A85" s="76"/>
      <c r="B85" s="49">
        <v>2031</v>
      </c>
      <c r="C85" s="1">
        <v>18123.379407871198</v>
      </c>
      <c r="E85" s="3"/>
      <c r="H85" s="76"/>
      <c r="I85" s="49">
        <v>2031</v>
      </c>
      <c r="J85" s="1">
        <v>-11380.847274011216</v>
      </c>
      <c r="L85" s="3"/>
      <c r="O85" s="76"/>
      <c r="P85" s="49">
        <v>2031</v>
      </c>
      <c r="Q85" s="1">
        <v>14194.282374997783</v>
      </c>
    </row>
    <row r="86" spans="1:20" s="69" customFormat="1" x14ac:dyDescent="0.25">
      <c r="A86" s="76"/>
      <c r="B86" s="49">
        <v>2032</v>
      </c>
      <c r="C86" s="1">
        <v>18134.847663496203</v>
      </c>
      <c r="E86" s="3"/>
      <c r="H86" s="76"/>
      <c r="I86" s="49">
        <v>2032</v>
      </c>
      <c r="J86" s="1">
        <v>-11369.379018386326</v>
      </c>
      <c r="L86" s="3"/>
      <c r="O86" s="76"/>
      <c r="P86" s="49">
        <v>2032</v>
      </c>
      <c r="Q86" s="1">
        <v>15381.645826268823</v>
      </c>
    </row>
    <row r="87" spans="1:20" s="69" customFormat="1" x14ac:dyDescent="0.25">
      <c r="A87" s="76"/>
      <c r="B87" s="49" t="s">
        <v>55</v>
      </c>
      <c r="C87" s="1">
        <v>56366.804993421967</v>
      </c>
      <c r="E87" s="3"/>
      <c r="H87" s="76"/>
      <c r="I87" s="49" t="s">
        <v>55</v>
      </c>
      <c r="J87" s="1">
        <v>-11824.456245069541</v>
      </c>
      <c r="L87" s="3"/>
      <c r="O87" s="76"/>
      <c r="P87" s="49" t="s">
        <v>55</v>
      </c>
      <c r="Q87" s="1">
        <v>50685.728774451491</v>
      </c>
    </row>
    <row r="88" spans="1:20" s="69" customFormat="1" x14ac:dyDescent="0.25">
      <c r="A88" s="40"/>
      <c r="B88" s="57"/>
      <c r="C88" s="3"/>
      <c r="D88" s="3"/>
      <c r="E88" s="3"/>
      <c r="H88" s="40"/>
      <c r="I88" s="57"/>
      <c r="J88" s="3"/>
      <c r="K88" s="3"/>
      <c r="L88" s="3"/>
      <c r="O88" s="40"/>
      <c r="P88" s="57"/>
      <c r="Q88" s="3"/>
      <c r="R88" s="3"/>
      <c r="S88" s="3"/>
    </row>
    <row r="89" spans="1:20" s="69" customFormat="1" x14ac:dyDescent="0.25">
      <c r="A89" s="7" t="s">
        <v>65</v>
      </c>
    </row>
    <row r="90" spans="1:20" s="69" customFormat="1" x14ac:dyDescent="0.25">
      <c r="A90" s="44" t="str">
        <f>B6</f>
        <v>Neutral noIC</v>
      </c>
      <c r="B90" s="44"/>
      <c r="C90" s="44"/>
      <c r="D90" s="44"/>
      <c r="E90" s="44"/>
      <c r="F90" s="49"/>
      <c r="H90" s="44" t="str">
        <f>C6</f>
        <v>Commitited gens</v>
      </c>
      <c r="I90" s="44"/>
      <c r="J90" s="44"/>
      <c r="K90" s="44"/>
      <c r="L90" s="44"/>
      <c r="M90" s="49"/>
      <c r="O90" s="44" t="str">
        <f>A12</f>
        <v>Early coal retirement</v>
      </c>
      <c r="P90" s="44"/>
      <c r="Q90" s="44"/>
      <c r="R90" s="44"/>
      <c r="S90" s="44"/>
      <c r="T90" s="49"/>
    </row>
    <row r="91" spans="1:20" s="69" customFormat="1" x14ac:dyDescent="0.25">
      <c r="A91" s="49" t="s">
        <v>1</v>
      </c>
      <c r="B91" s="44" t="s">
        <v>2</v>
      </c>
      <c r="C91" s="44" t="s">
        <v>16</v>
      </c>
      <c r="D91" s="44" t="s">
        <v>3</v>
      </c>
      <c r="E91" s="44" t="s">
        <v>17</v>
      </c>
      <c r="F91" s="44" t="s">
        <v>18</v>
      </c>
      <c r="H91" s="49" t="s">
        <v>1</v>
      </c>
      <c r="I91" s="44" t="s">
        <v>2</v>
      </c>
      <c r="J91" s="44" t="s">
        <v>16</v>
      </c>
      <c r="K91" s="44" t="s">
        <v>3</v>
      </c>
      <c r="L91" s="44" t="s">
        <v>17</v>
      </c>
      <c r="M91" s="44" t="s">
        <v>18</v>
      </c>
      <c r="O91" s="49" t="s">
        <v>1</v>
      </c>
      <c r="P91" s="44" t="s">
        <v>2</v>
      </c>
      <c r="Q91" s="44" t="s">
        <v>16</v>
      </c>
      <c r="R91" s="44" t="s">
        <v>3</v>
      </c>
      <c r="S91" s="44" t="s">
        <v>17</v>
      </c>
      <c r="T91" s="44" t="s">
        <v>18</v>
      </c>
    </row>
    <row r="92" spans="1:20" s="69" customFormat="1" x14ac:dyDescent="0.25">
      <c r="A92" s="49">
        <v>2020</v>
      </c>
      <c r="B92" s="44">
        <v>5631.2453471950721</v>
      </c>
      <c r="C92" s="44">
        <v>407.95329459174536</v>
      </c>
      <c r="D92" s="44">
        <v>1689.4090629222337</v>
      </c>
      <c r="E92" s="44">
        <v>0.20947157745831646</v>
      </c>
      <c r="F92" s="44">
        <v>1190.616077116807</v>
      </c>
      <c r="H92" s="49">
        <v>2020</v>
      </c>
      <c r="I92" s="44">
        <v>5375.8596324427053</v>
      </c>
      <c r="J92" s="44">
        <v>1287.9707112931646</v>
      </c>
      <c r="K92" s="44">
        <v>1310.0270640563685</v>
      </c>
      <c r="L92" s="44">
        <v>-0.91339416298433207</v>
      </c>
      <c r="M92" s="44">
        <v>922.1384576598648</v>
      </c>
      <c r="O92" s="49">
        <v>2020</v>
      </c>
      <c r="P92" s="44">
        <v>4768.935322010424</v>
      </c>
      <c r="Q92" s="44">
        <v>2761.647047072649</v>
      </c>
      <c r="R92" s="44">
        <v>587.63761394331232</v>
      </c>
      <c r="S92" s="44">
        <v>-0.96349958158680238</v>
      </c>
      <c r="T92" s="44">
        <v>320.32143688009819</v>
      </c>
    </row>
    <row r="93" spans="1:20" s="69" customFormat="1" x14ac:dyDescent="0.25">
      <c r="A93" s="49">
        <v>2021</v>
      </c>
      <c r="B93" s="49">
        <v>-1358.417900635628</v>
      </c>
      <c r="C93" s="49">
        <v>-1191.0163416259456</v>
      </c>
      <c r="D93" s="49">
        <v>187.97310906089842</v>
      </c>
      <c r="E93" s="49">
        <v>-5.8185627329003182</v>
      </c>
      <c r="F93" s="49">
        <v>290.95580118056387</v>
      </c>
      <c r="H93" s="49">
        <v>2021</v>
      </c>
      <c r="I93" s="49">
        <v>4290.2117658553179</v>
      </c>
      <c r="J93" s="49">
        <v>1557.3785384797957</v>
      </c>
      <c r="K93" s="49">
        <v>1151.217636684305</v>
      </c>
      <c r="L93" s="49">
        <v>0.34744397177564679</v>
      </c>
      <c r="M93" s="49">
        <v>1111.0244636125281</v>
      </c>
      <c r="O93" s="49">
        <v>2021</v>
      </c>
      <c r="P93" s="49">
        <v>-461.97216355311684</v>
      </c>
      <c r="Q93" s="49">
        <v>-1274.8669080657419</v>
      </c>
      <c r="R93" s="49">
        <v>-113.37120803113794</v>
      </c>
      <c r="S93" s="49">
        <v>-1.4510255884306389</v>
      </c>
      <c r="T93" s="49">
        <v>50.636160891444888</v>
      </c>
    </row>
    <row r="94" spans="1:20" s="69" customFormat="1" x14ac:dyDescent="0.25">
      <c r="A94" s="49">
        <v>2022</v>
      </c>
      <c r="B94" s="49">
        <v>-5301.5595113022719</v>
      </c>
      <c r="C94" s="49">
        <v>-2387.1560248560272</v>
      </c>
      <c r="D94" s="49">
        <v>-1731.522932568856</v>
      </c>
      <c r="E94" s="49">
        <v>10.841613279502781</v>
      </c>
      <c r="F94" s="49">
        <v>-121.43081507732859</v>
      </c>
      <c r="H94" s="49">
        <v>2022</v>
      </c>
      <c r="I94" s="49">
        <v>3965.848629930988</v>
      </c>
      <c r="J94" s="49">
        <v>3039.4872081601061</v>
      </c>
      <c r="K94" s="49">
        <v>1585.6773010626202</v>
      </c>
      <c r="L94" s="49">
        <v>6.7963014421329717</v>
      </c>
      <c r="M94" s="49">
        <v>1137.6148282365175</v>
      </c>
      <c r="O94" s="49">
        <v>2022</v>
      </c>
      <c r="P94" s="49">
        <v>-4270.0252374471165</v>
      </c>
      <c r="Q94" s="49">
        <v>-2310.0680834720843</v>
      </c>
      <c r="R94" s="49">
        <v>-809.94092664896743</v>
      </c>
      <c r="S94" s="49">
        <v>1.1031680933301686</v>
      </c>
      <c r="T94" s="49">
        <v>-322.08526835386874</v>
      </c>
    </row>
    <row r="95" spans="1:20" s="69" customFormat="1" x14ac:dyDescent="0.25">
      <c r="A95" s="49">
        <v>2023</v>
      </c>
      <c r="B95" s="49">
        <v>-17460.872212445363</v>
      </c>
      <c r="C95" s="49">
        <v>-13328.934300010558</v>
      </c>
      <c r="D95" s="49">
        <v>-6246.7001199863153</v>
      </c>
      <c r="E95" s="49">
        <v>-23.75301593480981</v>
      </c>
      <c r="F95" s="49">
        <v>-7365.8543839637423</v>
      </c>
      <c r="H95" s="49">
        <v>2023</v>
      </c>
      <c r="I95" s="49">
        <v>12683.884815248661</v>
      </c>
      <c r="J95" s="49">
        <v>7715.0154359913431</v>
      </c>
      <c r="K95" s="49">
        <v>3838.8612085194909</v>
      </c>
      <c r="L95" s="49">
        <v>59.598194631995284</v>
      </c>
      <c r="M95" s="49">
        <v>1518.3662385200732</v>
      </c>
      <c r="O95" s="49">
        <v>2023</v>
      </c>
      <c r="P95" s="49">
        <v>-24270.91084745829</v>
      </c>
      <c r="Q95" s="49">
        <v>-18172.040255684638</v>
      </c>
      <c r="R95" s="49">
        <v>-4777.4811878885375</v>
      </c>
      <c r="S95" s="49">
        <v>4.601417410405702</v>
      </c>
      <c r="T95" s="49">
        <v>-3740.6389791053371</v>
      </c>
    </row>
    <row r="96" spans="1:20" s="69" customFormat="1" x14ac:dyDescent="0.25">
      <c r="A96" s="49">
        <v>2024</v>
      </c>
      <c r="B96" s="49">
        <v>5986.9334862735122</v>
      </c>
      <c r="C96" s="49">
        <v>2194.7191413710825</v>
      </c>
      <c r="D96" s="49">
        <v>187.94283764512511</v>
      </c>
      <c r="E96" s="49">
        <v>5.6210123388300417</v>
      </c>
      <c r="F96" s="49">
        <v>-35.848990683152806</v>
      </c>
      <c r="H96" s="49">
        <v>2024</v>
      </c>
      <c r="I96" s="49">
        <v>12018.875706335763</v>
      </c>
      <c r="J96" s="49">
        <v>6910.6356252247933</v>
      </c>
      <c r="K96" s="49">
        <v>1621.9346886575804</v>
      </c>
      <c r="L96" s="49">
        <v>15.669356369413435</v>
      </c>
      <c r="M96" s="49">
        <v>1218.0288287730655</v>
      </c>
      <c r="O96" s="49">
        <v>2024</v>
      </c>
      <c r="P96" s="49">
        <v>1810.2789619353134</v>
      </c>
      <c r="Q96" s="49">
        <v>3255.9672607961111</v>
      </c>
      <c r="R96" s="49">
        <v>-1558.7867134445114</v>
      </c>
      <c r="S96" s="49">
        <v>47.544527266283694</v>
      </c>
      <c r="T96" s="49">
        <v>-576.13163970084861</v>
      </c>
    </row>
    <row r="97" spans="1:20" s="69" customFormat="1" x14ac:dyDescent="0.25">
      <c r="A97" s="49">
        <v>2025</v>
      </c>
      <c r="B97" s="49">
        <v>-2368.45354378107</v>
      </c>
      <c r="C97" s="49">
        <v>-3077.492558790138</v>
      </c>
      <c r="D97" s="49">
        <v>-18411.921386629692</v>
      </c>
      <c r="E97" s="49">
        <v>-16.218284315436904</v>
      </c>
      <c r="F97" s="49">
        <v>-496.82690894434927</v>
      </c>
      <c r="H97" s="49">
        <v>2025</v>
      </c>
      <c r="I97" s="49">
        <v>-2645.9886934992392</v>
      </c>
      <c r="J97" s="49">
        <v>-383.82338840467855</v>
      </c>
      <c r="K97" s="49">
        <v>-1533.6589430039312</v>
      </c>
      <c r="L97" s="49">
        <v>-5.555283630368649</v>
      </c>
      <c r="M97" s="49">
        <v>-2500.334045331052</v>
      </c>
      <c r="O97" s="49">
        <v>2025</v>
      </c>
      <c r="P97" s="49">
        <v>4963.7245109712239</v>
      </c>
      <c r="Q97" s="49">
        <v>3314.3136286244262</v>
      </c>
      <c r="R97" s="49">
        <v>160.23615174494626</v>
      </c>
      <c r="S97" s="49">
        <v>160.38930082233856</v>
      </c>
      <c r="T97" s="49">
        <v>-760.51074240537127</v>
      </c>
    </row>
    <row r="98" spans="1:20" s="69" customFormat="1" x14ac:dyDescent="0.25">
      <c r="A98" s="49">
        <v>2026</v>
      </c>
      <c r="B98" s="49">
        <v>4862.4875047702808</v>
      </c>
      <c r="C98" s="49">
        <v>-4615.3300142544322</v>
      </c>
      <c r="D98" s="49">
        <v>-8715.2200572232832</v>
      </c>
      <c r="E98" s="49">
        <v>-2.3028060512588127</v>
      </c>
      <c r="F98" s="49">
        <v>-1383.5886768974015</v>
      </c>
      <c r="H98" s="49">
        <v>2026</v>
      </c>
      <c r="I98" s="49">
        <v>7068.5945178591646</v>
      </c>
      <c r="J98" s="49">
        <v>3656.5360299779568</v>
      </c>
      <c r="K98" s="49">
        <v>1060.4687486669718</v>
      </c>
      <c r="L98" s="49">
        <v>375.11720085507841</v>
      </c>
      <c r="M98" s="49">
        <v>-646.66786470334046</v>
      </c>
      <c r="O98" s="49">
        <v>2026</v>
      </c>
      <c r="P98" s="49">
        <v>2805.81826280104</v>
      </c>
      <c r="Q98" s="49">
        <v>2938.139451462077</v>
      </c>
      <c r="R98" s="49">
        <v>-1100.220869895129</v>
      </c>
      <c r="S98" s="49">
        <v>-10.743318621549406</v>
      </c>
      <c r="T98" s="49">
        <v>-813.82332735939417</v>
      </c>
    </row>
    <row r="99" spans="1:20" s="69" customFormat="1" x14ac:dyDescent="0.25">
      <c r="A99" s="49">
        <v>2027</v>
      </c>
      <c r="B99" s="49">
        <v>3908.9332934226841</v>
      </c>
      <c r="C99" s="49">
        <v>-1892.6027581994422</v>
      </c>
      <c r="D99" s="49">
        <v>-7872.5920548625581</v>
      </c>
      <c r="E99" s="49">
        <v>2.7409062932347297</v>
      </c>
      <c r="F99" s="49">
        <v>-698.83539420861052</v>
      </c>
      <c r="H99" s="49">
        <v>2027</v>
      </c>
      <c r="I99" s="49">
        <v>6345.2934432453476</v>
      </c>
      <c r="J99" s="49">
        <v>606.90612458065152</v>
      </c>
      <c r="K99" s="49">
        <v>975.2152107317379</v>
      </c>
      <c r="L99" s="49">
        <v>2.4507685574499192</v>
      </c>
      <c r="M99" s="49">
        <v>-202.19340834073955</v>
      </c>
      <c r="O99" s="49">
        <v>2027</v>
      </c>
      <c r="P99" s="49">
        <v>3693.2978569879197</v>
      </c>
      <c r="Q99" s="49">
        <v>898.82716100336984</v>
      </c>
      <c r="R99" s="49">
        <v>-1206.0063689598028</v>
      </c>
      <c r="S99" s="49">
        <v>29.399309168547916</v>
      </c>
      <c r="T99" s="49">
        <v>-239.16227459313814</v>
      </c>
    </row>
    <row r="100" spans="1:20" s="69" customFormat="1" x14ac:dyDescent="0.25">
      <c r="A100" s="49">
        <v>2028</v>
      </c>
      <c r="B100" s="49">
        <v>5263.1537720239721</v>
      </c>
      <c r="C100" s="49">
        <v>-3017.4892041902058</v>
      </c>
      <c r="D100" s="49">
        <v>-6635.5591667575354</v>
      </c>
      <c r="E100" s="49">
        <v>0.31154125914326869</v>
      </c>
      <c r="F100" s="49">
        <v>-1307.5054384915275</v>
      </c>
      <c r="H100" s="49">
        <v>2028</v>
      </c>
      <c r="I100" s="49">
        <v>9419.0119834844954</v>
      </c>
      <c r="J100" s="49">
        <v>742.76654178183526</v>
      </c>
      <c r="K100" s="49">
        <v>158.56262153590797</v>
      </c>
      <c r="L100" s="49">
        <v>-4.8724743669736199</v>
      </c>
      <c r="M100" s="49">
        <v>-1060.0661462979624</v>
      </c>
      <c r="O100" s="49">
        <v>2028</v>
      </c>
      <c r="P100" s="49">
        <v>3646.8227356397547</v>
      </c>
      <c r="Q100" s="49">
        <v>191.84115944756195</v>
      </c>
      <c r="R100" s="49">
        <v>-2107.4436405094748</v>
      </c>
      <c r="S100" s="49">
        <v>37.305191982064571</v>
      </c>
      <c r="T100" s="49">
        <v>-2209.0463704358845</v>
      </c>
    </row>
    <row r="101" spans="1:20" s="69" customFormat="1" x14ac:dyDescent="0.25">
      <c r="A101" s="49">
        <v>2029</v>
      </c>
      <c r="B101" s="49">
        <v>11666.442048835801</v>
      </c>
      <c r="C101" s="49">
        <v>2669.2755332009401</v>
      </c>
      <c r="D101" s="49">
        <v>-5800.8417129965383</v>
      </c>
      <c r="E101" s="49">
        <v>45.373833092453424</v>
      </c>
      <c r="F101" s="49">
        <v>-515.83513556589605</v>
      </c>
      <c r="H101" s="49">
        <v>2029</v>
      </c>
      <c r="I101" s="49">
        <v>17987.311302800663</v>
      </c>
      <c r="J101" s="49">
        <v>1016.2703452238347</v>
      </c>
      <c r="K101" s="49">
        <v>1314.8914552065544</v>
      </c>
      <c r="L101" s="49">
        <v>19276.163579791551</v>
      </c>
      <c r="M101" s="49">
        <v>-1541.0717046486679</v>
      </c>
      <c r="O101" s="49">
        <v>2029</v>
      </c>
      <c r="P101" s="49">
        <v>14703.723442424089</v>
      </c>
      <c r="Q101" s="49">
        <v>3923.5683256459888</v>
      </c>
      <c r="R101" s="49">
        <v>344.42808724755014</v>
      </c>
      <c r="S101" s="49">
        <v>-6.0170057066570735</v>
      </c>
      <c r="T101" s="49">
        <v>-15062.316746597528</v>
      </c>
    </row>
    <row r="102" spans="1:20" s="69" customFormat="1" x14ac:dyDescent="0.25">
      <c r="A102" s="49">
        <v>2030</v>
      </c>
      <c r="B102" s="49">
        <v>13423.803929150337</v>
      </c>
      <c r="C102" s="49">
        <v>3589.5622708811425</v>
      </c>
      <c r="D102" s="49">
        <v>-6236.570951240923</v>
      </c>
      <c r="E102" s="49">
        <v>-7.8528118347312557</v>
      </c>
      <c r="F102" s="49">
        <v>-85.7652879555244</v>
      </c>
      <c r="H102" s="49">
        <v>2030</v>
      </c>
      <c r="I102" s="49">
        <v>19963.282009788323</v>
      </c>
      <c r="J102" s="49">
        <v>4669.1916912896559</v>
      </c>
      <c r="K102" s="49">
        <v>2606.4684210796549</v>
      </c>
      <c r="L102" s="49">
        <v>11155.727401162774</v>
      </c>
      <c r="M102" s="49">
        <v>105.4258784817066</v>
      </c>
      <c r="O102" s="49">
        <v>2030</v>
      </c>
      <c r="P102" s="49">
        <v>11307.022120256675</v>
      </c>
      <c r="Q102" s="49">
        <v>3183.0128996819258</v>
      </c>
      <c r="R102" s="49">
        <v>155.19216727859748</v>
      </c>
      <c r="S102" s="49">
        <v>19.81409001769498</v>
      </c>
      <c r="T102" s="49">
        <v>-1767.0419849783066</v>
      </c>
    </row>
    <row r="103" spans="1:20" s="69" customFormat="1" x14ac:dyDescent="0.25">
      <c r="A103" s="49">
        <v>2031</v>
      </c>
      <c r="B103" s="49">
        <v>13392.874676448293</v>
      </c>
      <c r="C103" s="49">
        <v>4404.9414965515025</v>
      </c>
      <c r="D103" s="49">
        <v>-5294.8399221204163</v>
      </c>
      <c r="E103" s="49">
        <v>-6.9255659197078785</v>
      </c>
      <c r="F103" s="49">
        <v>-205.30130351381376</v>
      </c>
      <c r="H103" s="49">
        <v>2031</v>
      </c>
      <c r="I103" s="49">
        <v>22090.457761611324</v>
      </c>
      <c r="J103" s="49">
        <v>8436.9046064815484</v>
      </c>
      <c r="K103" s="49">
        <v>3474.1635890462348</v>
      </c>
      <c r="L103" s="49">
        <v>5832.7250898961938</v>
      </c>
      <c r="M103" s="49">
        <v>-1497.6302265381673</v>
      </c>
      <c r="O103" s="49">
        <v>2031</v>
      </c>
      <c r="P103" s="49">
        <v>14876.078415901167</v>
      </c>
      <c r="Q103" s="49">
        <v>5332.1292863334529</v>
      </c>
      <c r="R103" s="49">
        <v>-77.745735298623913</v>
      </c>
      <c r="S103" s="49">
        <v>17.974364927082206</v>
      </c>
      <c r="T103" s="49">
        <v>-4941.5110385221196</v>
      </c>
    </row>
    <row r="104" spans="1:20" s="69" customFormat="1" x14ac:dyDescent="0.25">
      <c r="A104" s="49">
        <v>2032</v>
      </c>
      <c r="B104" s="49">
        <v>16019.622345596086</v>
      </c>
      <c r="C104" s="49">
        <v>7104.8240728864912</v>
      </c>
      <c r="D104" s="49">
        <v>-2340.2479339088022</v>
      </c>
      <c r="E104" s="49">
        <v>-2.5358878101105802</v>
      </c>
      <c r="F104" s="49">
        <v>-2153.8253498128033</v>
      </c>
      <c r="H104" s="49">
        <v>2032</v>
      </c>
      <c r="I104" s="49">
        <v>18225.856949590147</v>
      </c>
      <c r="J104" s="49">
        <v>3550.679598700488</v>
      </c>
      <c r="K104" s="49">
        <v>1657.4332099897147</v>
      </c>
      <c r="L104" s="49">
        <v>16601.616948045557</v>
      </c>
      <c r="M104" s="49">
        <v>2249.7453081865679</v>
      </c>
      <c r="O104" s="49">
        <v>2032</v>
      </c>
      <c r="P104" s="49">
        <v>13305.130854708608</v>
      </c>
      <c r="Q104" s="49">
        <v>6206.1812588651665</v>
      </c>
      <c r="R104" s="49">
        <v>-161.51161870261421</v>
      </c>
      <c r="S104" s="49">
        <v>17.903419307796867</v>
      </c>
      <c r="T104" s="49">
        <v>-6922.6354313205811</v>
      </c>
    </row>
    <row r="105" spans="1:20" s="69" customFormat="1" x14ac:dyDescent="0.25">
      <c r="A105" s="49" t="s">
        <v>36</v>
      </c>
      <c r="B105" s="44">
        <f>AVERAGE(B102:B104)</f>
        <v>14278.766983731572</v>
      </c>
      <c r="C105" s="44">
        <f t="shared" ref="C105:E105" si="13">AVERAGE(C102:C104)</f>
        <v>5033.1092801063787</v>
      </c>
      <c r="D105" s="44">
        <f t="shared" si="13"/>
        <v>-4623.8862690900469</v>
      </c>
      <c r="E105" s="44">
        <f t="shared" si="13"/>
        <v>-5.7714218548499048</v>
      </c>
      <c r="F105" s="44">
        <f>AVERAGE(F102:F104)</f>
        <v>-814.96398042738053</v>
      </c>
      <c r="H105" s="49" t="s">
        <v>36</v>
      </c>
      <c r="I105" s="44">
        <f>AVERAGE(I102:I104)</f>
        <v>20093.198906996597</v>
      </c>
      <c r="J105" s="44">
        <f t="shared" ref="J105:K105" si="14">AVERAGE(J102:J104)</f>
        <v>5552.2586321572307</v>
      </c>
      <c r="K105" s="44">
        <f t="shared" si="14"/>
        <v>2579.355073371868</v>
      </c>
      <c r="L105" s="44">
        <f>AVERAGE(L102:L104)</f>
        <v>11196.689813034842</v>
      </c>
      <c r="M105" s="44">
        <f>AVERAGE(M102:M104)</f>
        <v>285.84698671003571</v>
      </c>
      <c r="O105" s="49" t="s">
        <v>36</v>
      </c>
      <c r="P105" s="44">
        <f>AVERAGE(P102:P104)</f>
        <v>13162.743796955483</v>
      </c>
      <c r="Q105" s="44">
        <f t="shared" ref="Q105:S105" si="15">AVERAGE(Q102:Q104)</f>
        <v>4907.1078149601817</v>
      </c>
      <c r="R105" s="44">
        <f t="shared" si="15"/>
        <v>-28.021728907546883</v>
      </c>
      <c r="S105" s="44">
        <f t="shared" si="15"/>
        <v>18.563958084191352</v>
      </c>
      <c r="T105" s="44">
        <f>AVERAGE(T102:T104)</f>
        <v>-4543.7294849403361</v>
      </c>
    </row>
    <row r="106" spans="1:20" s="69" customFormat="1" x14ac:dyDescent="0.25"/>
    <row r="107" spans="1:20" s="69" customFormat="1" x14ac:dyDescent="0.25">
      <c r="A107" s="7" t="s">
        <v>66</v>
      </c>
    </row>
    <row r="108" spans="1:20" s="69" customFormat="1" x14ac:dyDescent="0.25">
      <c r="A108" s="44" t="str">
        <f>B6</f>
        <v>Neutral noIC</v>
      </c>
      <c r="B108" s="44"/>
      <c r="C108" s="44"/>
      <c r="D108" s="44"/>
      <c r="E108" s="44"/>
      <c r="F108" s="49"/>
      <c r="H108" s="44" t="str">
        <f>C6</f>
        <v>Commitited gens</v>
      </c>
      <c r="I108" s="44"/>
      <c r="J108" s="44"/>
      <c r="K108" s="44"/>
      <c r="L108" s="44"/>
      <c r="M108" s="49"/>
      <c r="O108" s="44" t="str">
        <f>A12</f>
        <v>Early coal retirement</v>
      </c>
      <c r="P108" s="44"/>
      <c r="Q108" s="44"/>
      <c r="R108" s="44"/>
      <c r="S108" s="44"/>
      <c r="T108" s="49"/>
    </row>
    <row r="109" spans="1:20" s="69" customFormat="1" x14ac:dyDescent="0.25">
      <c r="A109" s="49" t="s">
        <v>1</v>
      </c>
      <c r="B109" s="44" t="s">
        <v>2</v>
      </c>
      <c r="C109" s="44" t="s">
        <v>16</v>
      </c>
      <c r="D109" s="44" t="s">
        <v>3</v>
      </c>
      <c r="E109" s="44" t="s">
        <v>17</v>
      </c>
      <c r="F109" s="44" t="s">
        <v>18</v>
      </c>
      <c r="H109" s="49" t="s">
        <v>1</v>
      </c>
      <c r="I109" s="44" t="s">
        <v>2</v>
      </c>
      <c r="J109" s="44" t="s">
        <v>16</v>
      </c>
      <c r="K109" s="44" t="s">
        <v>3</v>
      </c>
      <c r="L109" s="44" t="s">
        <v>17</v>
      </c>
      <c r="M109" s="44" t="s">
        <v>18</v>
      </c>
      <c r="O109" s="49" t="s">
        <v>1</v>
      </c>
      <c r="P109" s="44" t="s">
        <v>2</v>
      </c>
      <c r="Q109" s="44" t="s">
        <v>16</v>
      </c>
      <c r="R109" s="44" t="s">
        <v>3</v>
      </c>
      <c r="S109" s="44" t="s">
        <v>17</v>
      </c>
      <c r="T109" s="44" t="s">
        <v>18</v>
      </c>
    </row>
    <row r="110" spans="1:20" s="69" customFormat="1" x14ac:dyDescent="0.25">
      <c r="A110" s="49">
        <v>2020</v>
      </c>
      <c r="B110" s="67">
        <v>1497.5931337159127</v>
      </c>
      <c r="C110" s="67">
        <v>89.936238004127517</v>
      </c>
      <c r="D110" s="67">
        <v>1639.4771535923355</v>
      </c>
      <c r="E110" s="67">
        <v>-0.44856298879312817</v>
      </c>
      <c r="F110" s="67">
        <v>269.67099084437359</v>
      </c>
      <c r="H110" s="49">
        <v>2020</v>
      </c>
      <c r="I110" s="67"/>
      <c r="J110" s="67"/>
      <c r="K110" s="67"/>
      <c r="L110" s="67"/>
      <c r="M110" s="67"/>
      <c r="O110" s="49">
        <v>2020</v>
      </c>
      <c r="P110" s="67">
        <v>721.98706150171347</v>
      </c>
      <c r="Q110" s="67">
        <v>961.3214714427013</v>
      </c>
      <c r="R110" s="67">
        <v>956.68423927057302</v>
      </c>
      <c r="S110" s="67">
        <v>-0.70674924275954254</v>
      </c>
      <c r="T110" s="67">
        <v>-52.78725194116123</v>
      </c>
    </row>
    <row r="111" spans="1:20" s="69" customFormat="1" x14ac:dyDescent="0.25">
      <c r="A111" s="49">
        <v>2021</v>
      </c>
      <c r="B111" s="67">
        <v>-4508.9709694611374</v>
      </c>
      <c r="C111" s="67">
        <v>-2069.8108855322935</v>
      </c>
      <c r="D111" s="67">
        <v>228.21734766080044</v>
      </c>
      <c r="E111" s="67">
        <v>-5.0532387882267358</v>
      </c>
      <c r="F111" s="67">
        <v>-774.94607218226884</v>
      </c>
      <c r="H111" s="49">
        <v>2021</v>
      </c>
      <c r="I111" s="67"/>
      <c r="J111" s="67"/>
      <c r="K111" s="67"/>
      <c r="L111" s="67"/>
      <c r="M111" s="67"/>
      <c r="O111" s="49">
        <v>2021</v>
      </c>
      <c r="P111" s="67">
        <v>-4391.2712046590168</v>
      </c>
      <c r="Q111" s="67">
        <v>-2748.1607633864041</v>
      </c>
      <c r="R111" s="67">
        <v>-51.795863853767514</v>
      </c>
      <c r="S111" s="67">
        <v>-1.3818363322934601</v>
      </c>
      <c r="T111" s="67">
        <v>-312.30602329742396</v>
      </c>
    </row>
    <row r="112" spans="1:20" s="69" customFormat="1" x14ac:dyDescent="0.25">
      <c r="A112" s="49">
        <v>2022</v>
      </c>
      <c r="B112" s="72">
        <v>-7802.2102520694025</v>
      </c>
      <c r="C112" s="72">
        <v>-4141.3333255690522</v>
      </c>
      <c r="D112" s="72">
        <v>-1326.3078669892857</v>
      </c>
      <c r="E112" s="72">
        <v>12.087638650475128</v>
      </c>
      <c r="F112" s="72">
        <v>-1204.7415441889316</v>
      </c>
      <c r="H112" s="49">
        <v>2022</v>
      </c>
      <c r="I112" s="72"/>
      <c r="J112" s="72"/>
      <c r="K112" s="72"/>
      <c r="L112" s="72"/>
      <c r="M112" s="72"/>
      <c r="O112" s="49">
        <v>2022</v>
      </c>
      <c r="P112" s="72">
        <v>-7953.6195127808023</v>
      </c>
      <c r="Q112" s="72">
        <v>-4796.1601283021737</v>
      </c>
      <c r="R112" s="72">
        <v>-770.05921800463693</v>
      </c>
      <c r="S112" s="72">
        <v>-3.876545470142446</v>
      </c>
      <c r="T112" s="72">
        <v>-706.82313815166708</v>
      </c>
    </row>
    <row r="113" spans="1:20" s="69" customFormat="1" x14ac:dyDescent="0.25">
      <c r="A113" s="49">
        <v>2023</v>
      </c>
      <c r="B113" s="67">
        <v>-20013.624885226367</v>
      </c>
      <c r="C113" s="67">
        <v>-15351.637121746084</v>
      </c>
      <c r="D113" s="67">
        <v>-6446.8513082761201</v>
      </c>
      <c r="E113" s="67">
        <v>-34.33678249528748</v>
      </c>
      <c r="F113" s="67">
        <v>-8621.0536672900198</v>
      </c>
      <c r="H113" s="49">
        <v>2023</v>
      </c>
      <c r="I113" s="67"/>
      <c r="J113" s="67"/>
      <c r="K113" s="67"/>
      <c r="L113" s="67"/>
      <c r="M113" s="67"/>
      <c r="O113" s="49">
        <v>2023</v>
      </c>
      <c r="P113" s="67">
        <v>-28842.170818286249</v>
      </c>
      <c r="Q113" s="67">
        <v>-20652.572390909074</v>
      </c>
      <c r="R113" s="67">
        <v>-5222.2570764058037</v>
      </c>
      <c r="S113" s="67">
        <v>6.188060002772545</v>
      </c>
      <c r="T113" s="67">
        <v>-4335.4211905968259</v>
      </c>
    </row>
    <row r="114" spans="1:20" s="69" customFormat="1" x14ac:dyDescent="0.25">
      <c r="A114" s="49">
        <v>2024</v>
      </c>
      <c r="B114" s="72">
        <v>4503.3172921747901</v>
      </c>
      <c r="C114" s="72">
        <v>886.88129592128098</v>
      </c>
      <c r="D114" s="72">
        <v>-278.35045276215533</v>
      </c>
      <c r="E114" s="72">
        <v>2.4378267279316788</v>
      </c>
      <c r="F114" s="72">
        <v>-3396.7022095521097</v>
      </c>
      <c r="H114" s="49">
        <v>2024</v>
      </c>
      <c r="I114" s="72"/>
      <c r="J114" s="72"/>
      <c r="K114" s="72"/>
      <c r="L114" s="72"/>
      <c r="M114" s="72"/>
      <c r="O114" s="49">
        <v>2024</v>
      </c>
      <c r="P114" s="72">
        <v>-9636.3165368114132</v>
      </c>
      <c r="Q114" s="72">
        <v>-4235.6382715182845</v>
      </c>
      <c r="R114" s="72">
        <v>-3004.2719100260292</v>
      </c>
      <c r="S114" s="72">
        <v>36.363090541883139</v>
      </c>
      <c r="T114" s="72">
        <v>-1555.4170968063117</v>
      </c>
    </row>
    <row r="115" spans="1:20" s="69" customFormat="1" x14ac:dyDescent="0.25">
      <c r="A115" s="49">
        <v>2025</v>
      </c>
      <c r="B115" s="67">
        <v>-5373.32346484554</v>
      </c>
      <c r="C115" s="67">
        <v>-3676.3646787903272</v>
      </c>
      <c r="D115" s="67">
        <v>-18234.212169675622</v>
      </c>
      <c r="E115" s="67">
        <v>-4.127037039717834</v>
      </c>
      <c r="F115" s="67">
        <v>-3893.7483729562955</v>
      </c>
      <c r="H115" s="49">
        <v>2025</v>
      </c>
      <c r="I115" s="67"/>
      <c r="J115" s="67"/>
      <c r="K115" s="67"/>
      <c r="L115" s="67"/>
      <c r="M115" s="67"/>
      <c r="O115" s="49">
        <v>2025</v>
      </c>
      <c r="P115" s="67">
        <v>-7752.2001697227824</v>
      </c>
      <c r="Q115" s="67">
        <v>-2792.36114265793</v>
      </c>
      <c r="R115" s="67">
        <v>-1758.1435774750425</v>
      </c>
      <c r="S115" s="67">
        <v>135.69671558815025</v>
      </c>
      <c r="T115" s="67">
        <v>-1865.0188797219307</v>
      </c>
    </row>
    <row r="116" spans="1:20" x14ac:dyDescent="0.25">
      <c r="A116" s="69"/>
      <c r="B116" s="69"/>
      <c r="C116" s="69"/>
      <c r="D116" s="69"/>
      <c r="E116" s="69"/>
      <c r="F116" s="69"/>
      <c r="G116" s="69"/>
      <c r="O116" s="69"/>
      <c r="P116" s="69"/>
      <c r="Q116" s="69"/>
      <c r="R116" s="69"/>
      <c r="S116" s="69"/>
      <c r="T116" s="69"/>
    </row>
    <row r="117" spans="1:20" x14ac:dyDescent="0.25">
      <c r="A117" s="69"/>
      <c r="B117" s="69"/>
      <c r="C117" s="69"/>
      <c r="D117" s="69"/>
      <c r="E117" s="69"/>
      <c r="F117" s="69"/>
      <c r="G117" s="69"/>
      <c r="O117" s="69"/>
      <c r="P117" s="69"/>
      <c r="Q117" s="69"/>
      <c r="R117" s="69"/>
      <c r="S117" s="69"/>
      <c r="T117" s="69"/>
    </row>
    <row r="118" spans="1:20" x14ac:dyDescent="0.25">
      <c r="A118" s="69"/>
      <c r="B118" s="69"/>
      <c r="C118" s="69"/>
      <c r="D118" s="69"/>
      <c r="E118" s="69"/>
      <c r="F118" s="69"/>
      <c r="G118" s="69"/>
      <c r="O118" s="69"/>
      <c r="P118" s="69"/>
      <c r="Q118" s="69"/>
      <c r="R118" s="69"/>
      <c r="S118" s="69"/>
      <c r="T118" s="69"/>
    </row>
    <row r="119" spans="1:20" x14ac:dyDescent="0.25">
      <c r="A119" s="69"/>
      <c r="B119" s="69"/>
      <c r="C119" s="69"/>
      <c r="D119" s="69"/>
      <c r="E119" s="69"/>
      <c r="F119" s="69"/>
      <c r="G119" s="69"/>
      <c r="O119" s="69"/>
      <c r="P119" s="69"/>
      <c r="Q119" s="69"/>
      <c r="R119" s="69"/>
      <c r="S119" s="69"/>
      <c r="T119" s="69"/>
    </row>
  </sheetData>
  <scenarios current="0">
    <scenario name="Neutral" locked="1" count="1" user="Kiet Lee" comment="Created by Kiet Lee on 10/10/2017">
      <inputCells r="B2" val="5" numFmtId="9"/>
    </scenario>
  </scenarios>
  <mergeCells count="9">
    <mergeCell ref="A30:A43"/>
    <mergeCell ref="A48:A69"/>
    <mergeCell ref="A74:A87"/>
    <mergeCell ref="O30:O43"/>
    <mergeCell ref="H30:H43"/>
    <mergeCell ref="H74:H87"/>
    <mergeCell ref="H48:H69"/>
    <mergeCell ref="O48:O69"/>
    <mergeCell ref="O74:O87"/>
  </mergeCells>
  <conditionalFormatting sqref="D15:I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76694-FB52-4D5E-BD33-B69A29764B9A}">
  <ds:schemaRefs>
    <ds:schemaRef ds:uri="http://purl.org/dc/terms/"/>
    <ds:schemaRef ds:uri="a14523ce-dede-483e-883a-2d83261080b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1ac4e04-0f7f-4421-8443-217e9810391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6B4693-1C14-44C7-85D7-754A61EE4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773A83-C9B7-4677-AFF2-9748E308D7A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7F0C34D-8A14-41EE-94B1-0272B81B47D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717D9C4-5709-45CC-B36C-590F42F71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Assumptions</vt:lpstr>
      <vt:lpstr>Results Summary</vt:lpstr>
      <vt:lpstr>Results Rank</vt:lpstr>
      <vt:lpstr>Benefits - Option B3</vt:lpstr>
      <vt:lpstr>Benefits - Option C2</vt:lpstr>
      <vt:lpstr>Discount_rate</vt:lpstr>
      <vt:lpstr>Network_option_lifespan</vt:lpstr>
      <vt:lpstr>Network_payment_duration_years</vt:lpstr>
      <vt:lpstr>Non_network_option_lifespan</vt:lpstr>
      <vt:lpstr>Non_Network_payment_duration_years</vt:lpstr>
      <vt:lpstr>Option_B3_Cost</vt:lpstr>
      <vt:lpstr>Option_B3_Year</vt:lpstr>
      <vt:lpstr>Option_C2_PresentCost</vt:lpstr>
      <vt:lpstr>Option_C2_Year</vt:lpstr>
      <vt:lpstr>Snowylink_BringForwardcost</vt:lpstr>
      <vt:lpstr>Snowylink_Year</vt:lpstr>
    </vt:vector>
  </TitlesOfParts>
  <Company>AEMO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Kiet Lee</dc:creator>
  <cp:lastModifiedBy>Felicity Bodger</cp:lastModifiedBy>
  <dcterms:created xsi:type="dcterms:W3CDTF">2017-10-05T05:24:53Z</dcterms:created>
  <dcterms:modified xsi:type="dcterms:W3CDTF">2018-12-13T01:07:09Z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MODocumentType">
    <vt:lpwstr>1;#Operational Record|859762f2-4462-42eb-9744-c955c7e2c540</vt:lpwstr>
  </property>
  <property fmtid="{D5CDD505-2E9C-101B-9397-08002B2CF9AE}" pid="3" name="ContentTypeId">
    <vt:lpwstr>0x0101003D4C062622E2174FB55C7A2A9782895B</vt:lpwstr>
  </property>
  <property fmtid="{D5CDD505-2E9C-101B-9397-08002B2CF9AE}" pid="4" name="AEMODocumentTypeTaxHTField0">
    <vt:lpwstr>Operational Record|859762f2-4462-42eb-9744-c955c7e2c540</vt:lpwstr>
  </property>
  <property fmtid="{D5CDD505-2E9C-101B-9397-08002B2CF9AE}" pid="5" name="TaxCatchAll">
    <vt:lpwstr>1;#Operational Record|859762f2-4462-42eb-9744-c955c7e2c540</vt:lpwstr>
  </property>
</Properties>
</file>