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0" yWindow="0" windowWidth="18000" windowHeight="25020" tabRatio="935"/>
  </bookViews>
  <sheets>
    <sheet name="Index" sheetId="1" r:id="rId1"/>
    <sheet name="Table 1" sheetId="54" r:id="rId2"/>
    <sheet name="Table 2" sheetId="98" r:id="rId3"/>
    <sheet name="Table 3" sheetId="47" r:id="rId4"/>
    <sheet name="Table 4" sheetId="55" r:id="rId5"/>
    <sheet name="Table 5" sheetId="29" r:id="rId6"/>
    <sheet name="Table 6" sheetId="94" r:id="rId7"/>
    <sheet name="Table 7" sheetId="58" r:id="rId8"/>
    <sheet name="Table 8" sheetId="59" r:id="rId9"/>
    <sheet name="Table 9" sheetId="28" r:id="rId10"/>
    <sheet name="Table 10" sheetId="108" r:id="rId11"/>
    <sheet name="Table 11" sheetId="109" r:id="rId12"/>
    <sheet name="Table 12" sheetId="110" r:id="rId13"/>
    <sheet name="Table 13" sheetId="30" r:id="rId14"/>
    <sheet name="Table 14" sheetId="31" r:id="rId15"/>
    <sheet name="Table 15" sheetId="33" r:id="rId16"/>
    <sheet name="Table 16" sheetId="60" r:id="rId17"/>
    <sheet name="Table 17" sheetId="61" r:id="rId18"/>
    <sheet name="Table 18" sheetId="62" r:id="rId19"/>
    <sheet name="Table 19" sheetId="63" r:id="rId20"/>
    <sheet name="Table 20" sheetId="64" r:id="rId21"/>
    <sheet name="Table 21" sheetId="75" r:id="rId22"/>
    <sheet name="Table 22" sheetId="85" r:id="rId23"/>
    <sheet name="Table 23" sheetId="86" r:id="rId24"/>
    <sheet name="Table 24" sheetId="87" r:id="rId25"/>
    <sheet name="Table 25" sheetId="88" r:id="rId26"/>
    <sheet name="Table 26" sheetId="111" r:id="rId27"/>
    <sheet name="Table 27" sheetId="89" r:id="rId28"/>
    <sheet name="Table 28" sheetId="123" r:id="rId29"/>
    <sheet name="Table 29" sheetId="112" r:id="rId30"/>
    <sheet name="Figure 1" sheetId="105" r:id="rId31"/>
    <sheet name="Figure 2" sheetId="106" r:id="rId32"/>
    <sheet name="Figure 3" sheetId="104" r:id="rId33"/>
    <sheet name="Figure 6" sheetId="122" r:id="rId34"/>
    <sheet name="Figure 21" sheetId="119" r:id="rId35"/>
    <sheet name="Figure 22" sheetId="118" r:id="rId36"/>
    <sheet name="Figure 23" sheetId="121" r:id="rId37"/>
    <sheet name="Figure 24" sheetId="120" r:id="rId38"/>
  </sheets>
  <definedNames>
    <definedName name="_xlnm._FilterDatabase" localSheetId="2" hidden="1">'Table 2'!#REF!</definedName>
  </definedNames>
  <calcPr calcId="152511"/>
</workbook>
</file>

<file path=xl/calcChain.xml><?xml version="1.0" encoding="utf-8"?>
<calcChain xmlns="http://schemas.openxmlformats.org/spreadsheetml/2006/main">
  <c r="B35" i="1" l="1"/>
  <c r="E13" i="123"/>
  <c r="D13" i="123"/>
  <c r="C13" i="123"/>
  <c r="B13" i="123"/>
  <c r="E12" i="123"/>
  <c r="D12" i="123"/>
  <c r="C12" i="123"/>
  <c r="B12" i="123"/>
  <c r="E11" i="123"/>
  <c r="D11" i="123"/>
  <c r="C11" i="123"/>
  <c r="B11" i="123"/>
  <c r="E10" i="123"/>
  <c r="D10" i="123"/>
  <c r="C10" i="123"/>
  <c r="B10" i="123"/>
  <c r="E9" i="123"/>
  <c r="D9" i="123"/>
  <c r="C9" i="123"/>
  <c r="B9" i="123"/>
  <c r="E8" i="123"/>
  <c r="D8" i="123"/>
  <c r="C8" i="123"/>
  <c r="B8" i="123"/>
  <c r="E7" i="123"/>
  <c r="D7" i="123"/>
  <c r="C7" i="123"/>
  <c r="B7" i="123"/>
  <c r="E17" i="89"/>
  <c r="E16" i="89"/>
  <c r="E14" i="89"/>
  <c r="E13" i="89"/>
  <c r="E12" i="89"/>
  <c r="E11" i="89"/>
  <c r="E10" i="89"/>
  <c r="E9" i="89"/>
  <c r="E8" i="89"/>
  <c r="E7" i="89"/>
  <c r="D17" i="89"/>
  <c r="D16" i="89"/>
  <c r="D14" i="89"/>
  <c r="D13" i="89"/>
  <c r="D12" i="89"/>
  <c r="D8" i="89"/>
  <c r="D7" i="89"/>
  <c r="B17" i="89"/>
  <c r="B16" i="89"/>
  <c r="B14" i="89"/>
  <c r="B13" i="89"/>
  <c r="B12" i="89"/>
  <c r="B11" i="89"/>
  <c r="B10" i="89"/>
  <c r="B9" i="89"/>
  <c r="B8" i="89"/>
  <c r="B7" i="89"/>
  <c r="E7" i="87" l="1"/>
  <c r="E6" i="87"/>
  <c r="G19" i="86"/>
  <c r="G18" i="86"/>
  <c r="G17" i="86"/>
  <c r="G15" i="86"/>
  <c r="G13" i="86"/>
  <c r="G11" i="86"/>
  <c r="G9" i="86"/>
  <c r="G7" i="86"/>
  <c r="G6" i="86"/>
  <c r="E13" i="85"/>
  <c r="E12" i="85"/>
  <c r="E11" i="85"/>
  <c r="E10" i="85"/>
  <c r="E9" i="85"/>
  <c r="E8" i="85"/>
  <c r="E7" i="85"/>
  <c r="E6" i="85"/>
  <c r="B22" i="1"/>
  <c r="B42" i="1" l="1"/>
  <c r="B46" i="1" l="1"/>
  <c r="B45" i="1"/>
  <c r="B44" i="1"/>
  <c r="B43" i="1"/>
  <c r="B41" i="1" l="1"/>
  <c r="B40" i="1"/>
  <c r="B39" i="1"/>
  <c r="B33" i="1"/>
  <c r="B36" i="1"/>
  <c r="B19" i="1"/>
  <c r="B18" i="1"/>
  <c r="B17" i="1"/>
  <c r="B9" i="1"/>
  <c r="B10" i="1"/>
  <c r="B8" i="1"/>
  <c r="B34" i="1" l="1"/>
  <c r="B32" i="1"/>
  <c r="B31" i="1"/>
  <c r="B30" i="1"/>
  <c r="B29" i="1"/>
  <c r="B28" i="1"/>
  <c r="B27" i="1"/>
  <c r="B26" i="1"/>
  <c r="B25" i="1"/>
  <c r="B24" i="1"/>
  <c r="B23" i="1"/>
  <c r="B21" i="1"/>
  <c r="B20" i="1"/>
  <c r="B15" i="1"/>
  <c r="B14" i="1"/>
  <c r="B13" i="1"/>
  <c r="B12" i="1"/>
  <c r="B11" i="1"/>
  <c r="B16" i="1"/>
</calcChain>
</file>

<file path=xl/sharedStrings.xml><?xml version="1.0" encoding="utf-8"?>
<sst xmlns="http://schemas.openxmlformats.org/spreadsheetml/2006/main" count="1150" uniqueCount="535">
  <si>
    <t>Gas</t>
  </si>
  <si>
    <t>Wind</t>
  </si>
  <si>
    <t>Coal</t>
  </si>
  <si>
    <t>Total</t>
  </si>
  <si>
    <t>Capacity (MW)</t>
  </si>
  <si>
    <t>Biomass</t>
  </si>
  <si>
    <t>Solar</t>
  </si>
  <si>
    <t>Overview</t>
  </si>
  <si>
    <t>List of Tables</t>
  </si>
  <si>
    <t>List of Figures</t>
  </si>
  <si>
    <t>2014-15</t>
  </si>
  <si>
    <t>2015-16</t>
  </si>
  <si>
    <t>Committed</t>
  </si>
  <si>
    <t>Actual</t>
  </si>
  <si>
    <t>Status</t>
  </si>
  <si>
    <t>Text-based tables and maps are not included in this file.</t>
  </si>
  <si>
    <t>Rooftop PV*</t>
  </si>
  <si>
    <t>Diesel + SNSG**</t>
  </si>
  <si>
    <t>** Diesel + SNSG includes small and large diesel, and small landfill methane and hydro generating systems.</t>
  </si>
  <si>
    <t>South Australia</t>
  </si>
  <si>
    <t>Fuel type</t>
  </si>
  <si>
    <t>Fuel Source</t>
  </si>
  <si>
    <t>Output (GWh)</t>
  </si>
  <si>
    <t>Natural Gas</t>
  </si>
  <si>
    <t>SA</t>
  </si>
  <si>
    <t>* Rooftop PV installations are not registered with AEMO, but are included here given their material contribution to generation.</t>
  </si>
  <si>
    <t>Interconnector net imports</t>
  </si>
  <si>
    <t>Technology</t>
  </si>
  <si>
    <t>Description</t>
  </si>
  <si>
    <t>Network investment</t>
  </si>
  <si>
    <t>Hornsdale Wind Farm Stage 2 (102.4 MW)</t>
  </si>
  <si>
    <t>Publicly announced new generation projects</t>
  </si>
  <si>
    <t>Project</t>
  </si>
  <si>
    <t>Basin</t>
  </si>
  <si>
    <t>Coal Type</t>
  </si>
  <si>
    <t>EDR (Mt)</t>
  </si>
  <si>
    <t>INF (Mt)</t>
  </si>
  <si>
    <t>Total (Mt)</t>
  </si>
  <si>
    <t>EDR (PJ)</t>
  </si>
  <si>
    <t>INF (PJ)</t>
  </si>
  <si>
    <t>Total (PJ)</t>
  </si>
  <si>
    <t>Longitude</t>
  </si>
  <si>
    <t>Latitude</t>
  </si>
  <si>
    <t>Basin GJ/t</t>
  </si>
  <si>
    <t>Arckaringa Basin</t>
  </si>
  <si>
    <t>Black</t>
  </si>
  <si>
    <t>Leigh Creek</t>
  </si>
  <si>
    <t>Saint Vincent Basin</t>
  </si>
  <si>
    <t>Eucla Basin</t>
  </si>
  <si>
    <t>Brown</t>
  </si>
  <si>
    <t>Murray Basin</t>
  </si>
  <si>
    <t>Calendar year</t>
  </si>
  <si>
    <t>Calculation</t>
  </si>
  <si>
    <t>Total gas consumption</t>
  </si>
  <si>
    <t>(PJ)</t>
  </si>
  <si>
    <t>Gas used for electricity generation (GPG)</t>
  </si>
  <si>
    <t>Percent of total</t>
  </si>
  <si>
    <t>Region</t>
  </si>
  <si>
    <t>Gas pipeline</t>
  </si>
  <si>
    <t>Length (km)</t>
  </si>
  <si>
    <t>Year of first gas flow</t>
  </si>
  <si>
    <t>384 (west), 340 (east)</t>
  </si>
  <si>
    <t>Moomba to Adelaide Pipeline</t>
  </si>
  <si>
    <t>209 (South), 85 (North)</t>
  </si>
  <si>
    <t xml:space="preserve">Moomba to Sydney Pipeline </t>
  </si>
  <si>
    <t>439 (South-East), 381 (North-West)</t>
  </si>
  <si>
    <t>South East Australia Gas Pipeline</t>
  </si>
  <si>
    <t>Material</t>
  </si>
  <si>
    <t>Actual Tonnes (t) / Volume (m3) or Nos.</t>
  </si>
  <si>
    <t>Calorific Value (MJ/ kg or MJ/No.)</t>
  </si>
  <si>
    <t>Moisture Content (%)</t>
  </si>
  <si>
    <t>Comment</t>
  </si>
  <si>
    <t>Timber</t>
  </si>
  <si>
    <t>984,000 tpa</t>
  </si>
  <si>
    <t>Poultry</t>
  </si>
  <si>
    <t>30,310,000 chickens</t>
  </si>
  <si>
    <t>Slurry</t>
  </si>
  <si>
    <t>Broadacre</t>
  </si>
  <si>
    <t>154,000 tpa</t>
  </si>
  <si>
    <t>Pigs</t>
  </si>
  <si>
    <t>225,000 pigs</t>
  </si>
  <si>
    <t>Horticulture</t>
  </si>
  <si>
    <t>112,500 tpa</t>
  </si>
  <si>
    <t>Livestock</t>
  </si>
  <si>
    <t>15,200 cows</t>
  </si>
  <si>
    <t>Dairy</t>
  </si>
  <si>
    <t>80,000 cows</t>
  </si>
  <si>
    <t>Feedstock</t>
  </si>
  <si>
    <t>Potential Yields (Mtpa)</t>
  </si>
  <si>
    <t>Calorific Value (MJ/ kg)</t>
  </si>
  <si>
    <t>Arundo Donax</t>
  </si>
  <si>
    <t>Woody weeds</t>
  </si>
  <si>
    <t>Mallee</t>
  </si>
  <si>
    <t>Cumbungie</t>
  </si>
  <si>
    <t>Corn / Maize</t>
  </si>
  <si>
    <t>Phragmities</t>
  </si>
  <si>
    <t>Acacia Saligna</t>
  </si>
  <si>
    <t>Brassica Juncea</t>
  </si>
  <si>
    <t>State</t>
  </si>
  <si>
    <t>Owner</t>
  </si>
  <si>
    <t>Location</t>
  </si>
  <si>
    <t>Commission year</t>
  </si>
  <si>
    <t>Bagasse cogeneration</t>
  </si>
  <si>
    <t>QLD</t>
  </si>
  <si>
    <t>Sucrogen</t>
  </si>
  <si>
    <t>Pioneer II</t>
  </si>
  <si>
    <t>Black liquor</t>
  </si>
  <si>
    <t>VIC</t>
  </si>
  <si>
    <t>Australian Paper</t>
  </si>
  <si>
    <t>Maryvale</t>
  </si>
  <si>
    <t>1976–89</t>
  </si>
  <si>
    <t>Invicta</t>
  </si>
  <si>
    <t>1976–96</t>
  </si>
  <si>
    <t>Mackay Sugar Ltd</t>
  </si>
  <si>
    <t>Racecource</t>
  </si>
  <si>
    <t>NSW</t>
  </si>
  <si>
    <t>Capital Dynamics</t>
  </si>
  <si>
    <t>Broadwater II</t>
  </si>
  <si>
    <t>Application</t>
  </si>
  <si>
    <t>Generation</t>
  </si>
  <si>
    <t>Seasonal storage</t>
  </si>
  <si>
    <t>Storage over months, based on seasonal variability on the supply and demand sides of the energy system</t>
  </si>
  <si>
    <t>Inter-seasonal or weekly storage</t>
  </si>
  <si>
    <t>Storage over days or weeks, for the loss of an interconnection or supply disruption</t>
  </si>
  <si>
    <t>Arbitrage</t>
  </si>
  <si>
    <t>Storage over hours, between low-price periods and high priced periods</t>
  </si>
  <si>
    <t>Large-scale wind and PV grid integration</t>
  </si>
  <si>
    <t>Storage to help integration of variable renewable energy by smoothing supply variability</t>
  </si>
  <si>
    <t>System operation</t>
  </si>
  <si>
    <r>
      <t>Frequency</t>
    </r>
    <r>
      <rPr>
        <strike/>
        <sz val="8"/>
        <color theme="1"/>
        <rFont val="Arial"/>
        <family val="2"/>
      </rPr>
      <t xml:space="preserve"> </t>
    </r>
    <r>
      <rPr>
        <sz val="8"/>
        <color theme="1"/>
        <rFont val="Arial"/>
        <family val="2"/>
      </rPr>
      <t>regulation and load following</t>
    </r>
  </si>
  <si>
    <t>Provision or absorption of active power to balance the supply and demand under normal conditions</t>
  </si>
  <si>
    <t>Reserve capacity</t>
  </si>
  <si>
    <t>Reserve capacity to compensate for a rapid, unexpected loss in generation</t>
  </si>
  <si>
    <t>Voltage-support</t>
  </si>
  <si>
    <t>Provision or absorption of reactive power to maintain voltage levels</t>
  </si>
  <si>
    <t>Black start</t>
  </si>
  <si>
    <t>Black start capabilities to allow electricity supply resources to restart without pulling electricity from the grid</t>
  </si>
  <si>
    <t>Transmission and Distribution (T&amp;D)</t>
  </si>
  <si>
    <t>Congestion management and investment deferral</t>
  </si>
  <si>
    <t>Storage technologies to relieve system congestion and defer construction of certain T&amp;D infrastructure</t>
  </si>
  <si>
    <t>Provision of minimal active power to damp voltage fluctuations on the distribution system</t>
  </si>
  <si>
    <t>End use</t>
  </si>
  <si>
    <t>Small-scale PV integration and increased self-consumption/ Tariff avoidance</t>
  </si>
  <si>
    <t>Storage technologies installed at the customer level to allow energy supply from self-generation (e.g. from solar PV) to be shifted to meet the timing of demand and avoid high time-of-use charges</t>
  </si>
  <si>
    <t>Power quality</t>
  </si>
  <si>
    <t>Storage technology installed at the customer level to protect customer loads from short-duration events that affect the quality of power</t>
  </si>
  <si>
    <t>Power reliability</t>
  </si>
  <si>
    <t>Behind-the-meter storage to provide backup power supply</t>
  </si>
  <si>
    <t>Retail energy time shift</t>
  </si>
  <si>
    <t>The battery can be charged during off-peak low-priced periods and discharge during peak high-priced periods</t>
  </si>
  <si>
    <t>Off-grid</t>
  </si>
  <si>
    <t>Compact storage to supply power to consumers not connected to electric grid</t>
  </si>
  <si>
    <t>PHS plants comprise a low and high water reservoir. Water is pumped using electricity up to the high reservoir. The stored energy can be transformed back into electricity by letting the water fall from the high reservoir to drive a turbine.</t>
  </si>
  <si>
    <t>PHS is a mature technology used widely on a large commercial scale. Topology is the main limitation for new-build, expansion or reservoir hydro upgrades. Costs also vary widely, depending on the specific location and works required.</t>
  </si>
  <si>
    <t>Electricity is stored as hydrogen by driving an electrolyser that produces hydrogen from air and water. Stored hydrogen can consequently power a fuel cell or combustion turbine and so be reconverted into electricity.</t>
  </si>
  <si>
    <t>Compressed air energy storage (CAES)</t>
  </si>
  <si>
    <t>CAES involves compressing and storing air, either in geological underground voids (e.g. salt caverns) or designated above-ground vessels. Electricity is transformed into thermal and mechanical energy as hot pressurised air. Later, the compressed air is heated by burning natural gas and then expanded in a gas turbine to generate electricity. The process of compressing air for storage generates heat.</t>
  </si>
  <si>
    <t>Heat exchangers, underground pipes, and above-ground storage vessels could make CAES projects independent of geology and improve efficiencies, but will cost more.</t>
  </si>
  <si>
    <t>Flywheel (FW)</t>
  </si>
  <si>
    <t>Flywheels are powered by electricity and can store electrical energy as rotating inertia. The discharging process transforms the flywheel movement back into electricity through a generator with efficiencies of between 90% and 95%.</t>
  </si>
  <si>
    <t>Super-capacitors (SC)</t>
  </si>
  <si>
    <t>Super-capacitors store small electricity quantities in an electric field between two capacitor plates.</t>
  </si>
  <si>
    <t>At present, only limited grid installations exist.</t>
  </si>
  <si>
    <t>Superconducting magnetic energy storage (SMES)</t>
  </si>
  <si>
    <t>SMES systems store energy in a magnetic field produced by a coil with multiple windings. They operate at very low temperature to minimise resistance.</t>
  </si>
  <si>
    <t>Batteries can store electricity as electrochemical energy. A diverse set of battery technologies exist today, listed below.</t>
  </si>
  <si>
    <t>Li-ion batteries, due to their high-energy density, are already used for many small power stationary applications.</t>
  </si>
  <si>
    <t>LA batteries are a mature technology used mainly as starters in automobiles and are the current leader in the industrial battery sector (e.g. uninterruptable power source and off-grid). The innovation potential is relatively small: limited lifetime and low energy density are major drawbacks.</t>
  </si>
  <si>
    <r>
      <t xml:space="preserve">NaS batteries are most suited for daily operation. They need to be kept at high operational temperature (250 </t>
    </r>
    <r>
      <rPr>
        <vertAlign val="superscript"/>
        <sz val="8"/>
        <color theme="1"/>
        <rFont val="Arial"/>
        <family val="2"/>
      </rPr>
      <t>o</t>
    </r>
    <r>
      <rPr>
        <sz val="8"/>
        <color theme="1"/>
        <rFont val="Arial"/>
        <family val="2"/>
      </rPr>
      <t xml:space="preserve">C to 350 </t>
    </r>
    <r>
      <rPr>
        <vertAlign val="superscript"/>
        <sz val="8"/>
        <color theme="1"/>
        <rFont val="Arial"/>
        <family val="2"/>
      </rPr>
      <t>o</t>
    </r>
    <r>
      <rPr>
        <sz val="8"/>
        <color theme="1"/>
        <rFont val="Arial"/>
        <family val="2"/>
      </rPr>
      <t>C), which can be maintained from the heat released by chemical reactions combined with efficient cell isolation.</t>
    </r>
  </si>
  <si>
    <r>
      <t>NaNiCl</t>
    </r>
    <r>
      <rPr>
        <vertAlign val="subscript"/>
        <sz val="8"/>
        <color theme="1"/>
        <rFont val="Arial"/>
        <family val="2"/>
      </rPr>
      <t>2</t>
    </r>
    <r>
      <rPr>
        <sz val="8"/>
        <color theme="1"/>
        <rFont val="Arial"/>
        <family val="2"/>
      </rPr>
      <t xml:space="preserve"> batteries are high-temperature battery devices similar to NaS. In charging the battery, salt (NaCl) and Nickel (Ni) are converted into Nickel-Chloride (NiCl</t>
    </r>
    <r>
      <rPr>
        <vertAlign val="subscript"/>
        <sz val="8"/>
        <color theme="1"/>
        <rFont val="Arial"/>
        <family val="2"/>
      </rPr>
      <t>2</t>
    </r>
    <r>
      <rPr>
        <sz val="8"/>
        <color theme="1"/>
        <rFont val="Arial"/>
        <family val="2"/>
      </rPr>
      <t xml:space="preserve">) and molten sodium (Na). The chemical reactions are reversed in the discharging process.  </t>
    </r>
  </si>
  <si>
    <t>Flow batteries are a unique category of batteries, composed of two electrolytes separated by an ion-selective membrane that allows only specific ions to pass during the charging or discharging process. The electrolyte can be stored in separate tanks and pumped into the battery as needed. Flow battery contains more parts than some other technologies but it can be fully discharged on a regular basis which allows a better lifetime.</t>
  </si>
  <si>
    <t>Power station</t>
  </si>
  <si>
    <t>Wivenhoe</t>
  </si>
  <si>
    <t>Shoalhaven</t>
  </si>
  <si>
    <t>Tumut-3</t>
  </si>
  <si>
    <t>Project name</t>
  </si>
  <si>
    <t>Capacity (kW)</t>
  </si>
  <si>
    <t>Technology type</t>
  </si>
  <si>
    <t>Applications</t>
  </si>
  <si>
    <t>RedFlow 300 kW Adelaide</t>
  </si>
  <si>
    <t>Flow battery</t>
  </si>
  <si>
    <t>Operational</t>
  </si>
  <si>
    <t xml:space="preserve">Electric bill management,  </t>
  </si>
  <si>
    <t>electric supply reserve capacity</t>
  </si>
  <si>
    <t>Kingfisher Project (Stage 1)</t>
  </si>
  <si>
    <t>Electro-chemical</t>
  </si>
  <si>
    <t>Under construction</t>
  </si>
  <si>
    <t>Renewables capacity firming, renewable energy time shift</t>
  </si>
  <si>
    <t>Kingfisher Project (Stage 2)</t>
  </si>
  <si>
    <t>Vehicle</t>
  </si>
  <si>
    <t>Battery Electric Vehicle (BEV)</t>
  </si>
  <si>
    <t>BEVs are powered only by energy stored in batteries. Batteries are charged by plugging into the grid and the range of BEV is limited by the size of the battery.</t>
  </si>
  <si>
    <t>Plug-in Hybrid Electric Vehicle (PHEV)</t>
  </si>
  <si>
    <t>PHEVs combine both internal combustion engine (ICE) with an electric motor. Electrical battery is charged by plugging into the grid. The vehicle is primarily powered by the electric engine and after the battery is discharged, ICE will be used and the car functions much like a hybrid vehicle.</t>
  </si>
  <si>
    <t>NSW &amp; ACT</t>
  </si>
  <si>
    <t>TAS</t>
  </si>
  <si>
    <t>NEM</t>
  </si>
  <si>
    <t>BEVs</t>
  </si>
  <si>
    <t>PHEVs</t>
  </si>
  <si>
    <t>Generation capacity (MW) (% of total)</t>
  </si>
  <si>
    <t>Queensland</t>
  </si>
  <si>
    <t>New South Wales</t>
  </si>
  <si>
    <t>Victoria</t>
  </si>
  <si>
    <t>Tasmania</t>
  </si>
  <si>
    <t>Synchronous (registered)</t>
  </si>
  <si>
    <t>12,459 (89%)</t>
  </si>
  <si>
    <t>15,416 (88%)</t>
  </si>
  <si>
    <t>11,050 (83%)</t>
  </si>
  <si>
    <t>2,999 (58%)</t>
  </si>
  <si>
    <t>2,672 (87%)</t>
  </si>
  <si>
    <t>Non-synchronous (registered)</t>
  </si>
  <si>
    <t>12 (0.1%)</t>
  </si>
  <si>
    <t>897 (5%)</t>
  </si>
  <si>
    <t>1,230 (9%)</t>
  </si>
  <si>
    <t>1,473 (29%)</t>
  </si>
  <si>
    <t>308 (10%)</t>
  </si>
  <si>
    <t>Non-synchronous (distributed)</t>
  </si>
  <si>
    <t>1,585 (11%)</t>
  </si>
  <si>
    <t>1,301 (7%)</t>
  </si>
  <si>
    <t>957 (7%)</t>
  </si>
  <si>
    <t>683 (13%)</t>
  </si>
  <si>
    <t>97 (3%)</t>
  </si>
  <si>
    <t>Interconnection</t>
  </si>
  <si>
    <t>Double-circuit AC interconnection NSW-Qld</t>
  </si>
  <si>
    <t>3 cable DC connection NSW-Qld</t>
  </si>
  <si>
    <t>5 AC lines connecting NSW-Vic</t>
  </si>
  <si>
    <t>Double-circuit AC connection Vic-SA</t>
  </si>
  <si>
    <t>DC connection Vic-SA</t>
  </si>
  <si>
    <t>DC connection Vic-Tas</t>
  </si>
  <si>
    <t>Technical solution</t>
  </si>
  <si>
    <t>power system conditions)</t>
  </si>
  <si>
    <t>System strength</t>
  </si>
  <si>
    <t>High RoCoF</t>
  </si>
  <si>
    <r>
      <t>Synchronous condenser</t>
    </r>
    <r>
      <rPr>
        <sz val="8"/>
        <color theme="1"/>
        <rFont val="Arial"/>
        <family val="2"/>
      </rPr>
      <t xml:space="preserve"> with or without flywheels (These can be new or retrofitted to existing / retiring plant.)</t>
    </r>
  </si>
  <si>
    <t>P</t>
  </si>
  <si>
    <r>
      <t>Synchronous generation / storage</t>
    </r>
    <r>
      <rPr>
        <sz val="8"/>
        <color theme="1"/>
        <rFont val="Arial"/>
        <family val="2"/>
      </rPr>
      <t xml:space="preserve"> (Either new entrants or existing plant)</t>
    </r>
  </si>
  <si>
    <r>
      <t>Batteries</t>
    </r>
    <r>
      <rPr>
        <sz val="8"/>
        <color theme="1"/>
        <rFont val="Arial"/>
        <family val="2"/>
      </rPr>
      <t xml:space="preserve"> and other inverter-connected </t>
    </r>
    <r>
      <rPr>
        <b/>
        <sz val="8"/>
        <color theme="1"/>
        <rFont val="Arial"/>
        <family val="2"/>
      </rPr>
      <t>storage</t>
    </r>
    <r>
      <rPr>
        <sz val="8"/>
        <color theme="1"/>
        <rFont val="Arial"/>
        <family val="2"/>
      </rPr>
      <t xml:space="preserve"> providing ancillary services</t>
    </r>
  </si>
  <si>
    <t>Uncertain</t>
  </si>
  <si>
    <r>
      <t>Wind generation</t>
    </r>
    <r>
      <rPr>
        <sz val="8"/>
        <color theme="1"/>
        <rFont val="Arial"/>
        <family val="2"/>
      </rPr>
      <t xml:space="preserve"> providing ancillary services</t>
    </r>
  </si>
  <si>
    <t>Allow frequency to deviate more</t>
  </si>
  <si>
    <r>
      <t xml:space="preserve">Adjust </t>
    </r>
    <r>
      <rPr>
        <b/>
        <sz val="8"/>
        <color theme="1"/>
        <rFont val="Arial"/>
        <family val="2"/>
      </rPr>
      <t>RoCoF protection</t>
    </r>
    <r>
      <rPr>
        <sz val="8"/>
        <color theme="1"/>
        <rFont val="Arial"/>
        <family val="2"/>
      </rPr>
      <t xml:space="preserve"> settings</t>
    </r>
  </si>
  <si>
    <r>
      <t xml:space="preserve">Maintain </t>
    </r>
    <r>
      <rPr>
        <b/>
        <sz val="8"/>
        <color theme="1"/>
        <rFont val="Arial"/>
        <family val="2"/>
      </rPr>
      <t>local ancillary services</t>
    </r>
    <r>
      <rPr>
        <sz val="8"/>
        <color theme="1"/>
        <rFont val="Arial"/>
        <family val="2"/>
      </rPr>
      <t xml:space="preserve"> in areas that</t>
    </r>
  </si>
  <si>
    <t>could island</t>
  </si>
  <si>
    <t>Partial</t>
  </si>
  <si>
    <r>
      <t xml:space="preserve">New </t>
    </r>
    <r>
      <rPr>
        <b/>
        <sz val="8"/>
        <color theme="1"/>
        <rFont val="Arial"/>
        <family val="2"/>
      </rPr>
      <t>AC interconnectors</t>
    </r>
  </si>
  <si>
    <r>
      <t xml:space="preserve">New </t>
    </r>
    <r>
      <rPr>
        <b/>
        <sz val="8"/>
        <color theme="1"/>
        <rFont val="Arial"/>
        <family val="2"/>
      </rPr>
      <t>HVDC interconnectors</t>
    </r>
  </si>
  <si>
    <r>
      <t>Frequency controller</t>
    </r>
    <r>
      <rPr>
        <sz val="8"/>
        <color theme="1"/>
        <rFont val="Arial"/>
        <family val="2"/>
      </rPr>
      <t xml:space="preserve"> on existing HVDC</t>
    </r>
  </si>
  <si>
    <t>Optimise Contingency FCAS requirements</t>
  </si>
  <si>
    <t>Optimise Regulation FCAS requirements</t>
  </si>
  <si>
    <t>Emissions (kgCO2-e/MWh)</t>
  </si>
  <si>
    <t>Minimum LCOE ($/MWh)</t>
  </si>
  <si>
    <t>Wind (200 MW)</t>
  </si>
  <si>
    <t>-</t>
  </si>
  <si>
    <t xml:space="preserve">Biomass </t>
  </si>
  <si>
    <t xml:space="preserve">Solar PV (FFP) </t>
  </si>
  <si>
    <t>Solar PV (SAT)</t>
  </si>
  <si>
    <t>Solar PV (DAT)</t>
  </si>
  <si>
    <t>Solar thermal (CR with storage)</t>
  </si>
  <si>
    <t>Solar thermal (CLF)</t>
  </si>
  <si>
    <t>Solar thermal (PT with storage)</t>
  </si>
  <si>
    <t>Open Cycle (OCGT)</t>
  </si>
  <si>
    <t>Combined cycle (CCGT)</t>
  </si>
  <si>
    <t>Combined cycle (CCGT with CCS)</t>
  </si>
  <si>
    <t>Supercritical (SCPC)</t>
  </si>
  <si>
    <t>Brown coal</t>
  </si>
  <si>
    <t>Supercritical (SCPC with CCS)</t>
  </si>
  <si>
    <t>Black coal</t>
  </si>
  <si>
    <r>
      <t>CO</t>
    </r>
    <r>
      <rPr>
        <b/>
        <vertAlign val="subscript"/>
        <sz val="8"/>
        <color theme="1"/>
        <rFont val="Arial"/>
        <family val="2"/>
      </rPr>
      <t>2</t>
    </r>
    <r>
      <rPr>
        <b/>
        <sz val="8"/>
        <color theme="1"/>
        <rFont val="Arial"/>
        <family val="2"/>
      </rPr>
      <t xml:space="preserve"> emissions (kgCO</t>
    </r>
    <r>
      <rPr>
        <b/>
        <vertAlign val="subscript"/>
        <sz val="8"/>
        <color theme="1"/>
        <rFont val="Arial"/>
        <family val="2"/>
      </rPr>
      <t>2</t>
    </r>
    <r>
      <rPr>
        <b/>
        <sz val="8"/>
        <color theme="1"/>
        <rFont val="Arial"/>
        <family val="2"/>
      </rPr>
      <t>-e/MWh)</t>
    </r>
  </si>
  <si>
    <t>Minimum LCOE ($/MWh sent out)</t>
  </si>
  <si>
    <t>Pumped hydro storage</t>
  </si>
  <si>
    <t>Grid battery storage</t>
  </si>
  <si>
    <t>Battery</t>
  </si>
  <si>
    <t>Generation technology at frontier</t>
  </si>
  <si>
    <t>NEM (including South Australia)</t>
  </si>
  <si>
    <t>Wind: from 33% to 42% capacity factor</t>
  </si>
  <si>
    <t>Capital costs ($/kW)</t>
  </si>
  <si>
    <t>VOM ($/MWh)</t>
  </si>
  <si>
    <t>FOM costs ($/kW/yr)</t>
  </si>
  <si>
    <r>
      <t>Combustion Emission Factor (kg CO</t>
    </r>
    <r>
      <rPr>
        <b/>
        <vertAlign val="subscript"/>
        <sz val="7"/>
        <color rgb="FF000000"/>
        <rFont val="Arial"/>
        <family val="2"/>
      </rPr>
      <t>2</t>
    </r>
    <r>
      <rPr>
        <b/>
        <sz val="7"/>
        <color rgb="FF000000"/>
        <rFont val="Arial"/>
        <family val="2"/>
      </rPr>
      <t>e/GJ)</t>
    </r>
  </si>
  <si>
    <t>Emissions captured (%)</t>
  </si>
  <si>
    <t>Renewable</t>
  </si>
  <si>
    <t xml:space="preserve">             -   </t>
  </si>
  <si>
    <t xml:space="preserve">                 -   </t>
  </si>
  <si>
    <t xml:space="preserve"> - </t>
  </si>
  <si>
    <t>Solar PV (FFP)</t>
  </si>
  <si>
    <t xml:space="preserve">                  -   </t>
  </si>
  <si>
    <t>Storage</t>
  </si>
  <si>
    <t>Grid battery</t>
  </si>
  <si>
    <t>Non-renewable</t>
  </si>
  <si>
    <t>Open cycle gas turbine (OCGT)</t>
  </si>
  <si>
    <t>Combined cycle gas turbine (CCGT)</t>
  </si>
  <si>
    <t>Combined cycle gas turbine (CCGT with CCS)</t>
  </si>
  <si>
    <t>Supercritical brown coal (SCPC)</t>
  </si>
  <si>
    <t>Supercritical brown coal (SCPC  with CCS)</t>
  </si>
  <si>
    <t>Supercritical black coal (SCPC)</t>
  </si>
  <si>
    <t>Supercritical black coal (SCPC with CCS)</t>
  </si>
  <si>
    <t>CapFactor</t>
  </si>
  <si>
    <t>CCGT - With CCS</t>
  </si>
  <si>
    <t>CCGT - Without CCS</t>
  </si>
  <si>
    <t>Geothermal - Enhanced Geothermal System (EGS)</t>
  </si>
  <si>
    <t>Geothermal - Hot Sedimentary Aquifers (HSA)</t>
  </si>
  <si>
    <t>Integrated Solar Combined Cycle (ISCC)</t>
  </si>
  <si>
    <t>OCGT - Without CCS</t>
  </si>
  <si>
    <t>Solar PV DAT</t>
  </si>
  <si>
    <t>Solar PV FFP</t>
  </si>
  <si>
    <t>Solar PV SAT</t>
  </si>
  <si>
    <t>Solar Thermal CR WS</t>
  </si>
  <si>
    <t>Supercritical PC - Black coal with CCS</t>
  </si>
  <si>
    <t>Supercritical PC - Black coal without CCS</t>
  </si>
  <si>
    <t>Supercritical PC - Brown coal without CCS</t>
  </si>
  <si>
    <t>Large Scale Battery Storage</t>
  </si>
  <si>
    <t>Pumped Hydro Storage</t>
  </si>
  <si>
    <t>Wave/Ocean</t>
  </si>
  <si>
    <t>Cost Frontier</t>
  </si>
  <si>
    <t>Tech at the Cost Frontier</t>
  </si>
  <si>
    <t>LCOE vs CF in SA</t>
  </si>
  <si>
    <t xml:space="preserve">LCOE vs CF in NEM </t>
  </si>
  <si>
    <t>Legend</t>
  </si>
  <si>
    <t>Biomass (CF 70.0%)</t>
  </si>
  <si>
    <t>Wind (200 MW) (CF 42.0%)</t>
  </si>
  <si>
    <t>Solar PV DAT (CF 32.0%)</t>
  </si>
  <si>
    <t>Solar PV FFP (CF 22.0%)</t>
  </si>
  <si>
    <t>Solar PV SAT (CF 28.0%)</t>
  </si>
  <si>
    <t>Wave/Ocean (CF 60.0%)</t>
  </si>
  <si>
    <t>Constituents</t>
  </si>
  <si>
    <t>Agricultural waste</t>
  </si>
  <si>
    <r>
      <t>·</t>
    </r>
    <r>
      <rPr>
        <sz val="7"/>
        <color theme="1"/>
        <rFont val="Times New Roman"/>
        <family val="1"/>
      </rPr>
      <t xml:space="preserve">          </t>
    </r>
    <r>
      <rPr>
        <sz val="8"/>
        <color theme="1"/>
        <rFont val="Arial"/>
        <family val="2"/>
      </rPr>
      <t>Livestock manure</t>
    </r>
  </si>
  <si>
    <r>
      <t>·</t>
    </r>
    <r>
      <rPr>
        <sz val="7"/>
        <color theme="1"/>
        <rFont val="Times New Roman"/>
        <family val="1"/>
      </rPr>
      <t xml:space="preserve">          </t>
    </r>
    <r>
      <rPr>
        <sz val="8"/>
        <color theme="1"/>
        <rFont val="Arial"/>
        <family val="2"/>
      </rPr>
      <t>Abbottoir waste solids</t>
    </r>
  </si>
  <si>
    <r>
      <t>·</t>
    </r>
    <r>
      <rPr>
        <sz val="7"/>
        <color theme="1"/>
        <rFont val="Times New Roman"/>
        <family val="1"/>
      </rPr>
      <t xml:space="preserve">          </t>
    </r>
    <r>
      <rPr>
        <sz val="8"/>
        <color theme="1"/>
        <rFont val="Arial"/>
        <family val="2"/>
      </rPr>
      <t>Other processing plants</t>
    </r>
  </si>
  <si>
    <r>
      <t>·</t>
    </r>
    <r>
      <rPr>
        <sz val="7"/>
        <color theme="1"/>
        <rFont val="Times New Roman"/>
        <family val="1"/>
      </rPr>
      <t xml:space="preserve">          </t>
    </r>
    <r>
      <rPr>
        <sz val="8"/>
        <color theme="1"/>
        <rFont val="Arial"/>
        <family val="2"/>
      </rPr>
      <t>Crop and food residues from harvesting and processing</t>
    </r>
  </si>
  <si>
    <t>Horticultural waste</t>
  </si>
  <si>
    <r>
      <t>·</t>
    </r>
    <r>
      <rPr>
        <sz val="7"/>
        <color theme="1"/>
        <rFont val="Times New Roman"/>
        <family val="1"/>
      </rPr>
      <t xml:space="preserve">          </t>
    </r>
    <r>
      <rPr>
        <sz val="8"/>
        <color theme="1"/>
        <rFont val="Arial"/>
        <family val="2"/>
      </rPr>
      <t>Vegetables &amp; fruit</t>
    </r>
  </si>
  <si>
    <r>
      <t>·</t>
    </r>
    <r>
      <rPr>
        <sz val="7"/>
        <color theme="1"/>
        <rFont val="Times New Roman"/>
        <family val="1"/>
      </rPr>
      <t xml:space="preserve">          </t>
    </r>
    <r>
      <rPr>
        <sz val="8"/>
        <color theme="1"/>
        <rFont val="Arial"/>
        <family val="2"/>
      </rPr>
      <t>Shells, pips, trees</t>
    </r>
  </si>
  <si>
    <t>Energy crops</t>
  </si>
  <si>
    <r>
      <t>·</t>
    </r>
    <r>
      <rPr>
        <sz val="7"/>
        <color theme="1"/>
        <rFont val="Times New Roman"/>
        <family val="1"/>
      </rPr>
      <t xml:space="preserve">          </t>
    </r>
    <r>
      <rPr>
        <sz val="8"/>
        <color theme="1"/>
        <rFont val="Arial"/>
        <family val="2"/>
      </rPr>
      <t>Canola</t>
    </r>
  </si>
  <si>
    <r>
      <t>·</t>
    </r>
    <r>
      <rPr>
        <sz val="7"/>
        <color theme="1"/>
        <rFont val="Times New Roman"/>
        <family val="1"/>
      </rPr>
      <t xml:space="preserve">          </t>
    </r>
    <r>
      <rPr>
        <sz val="8"/>
        <color theme="1"/>
        <rFont val="Arial"/>
        <family val="2"/>
      </rPr>
      <t>Planted mallee</t>
    </r>
  </si>
  <si>
    <r>
      <t>·</t>
    </r>
    <r>
      <rPr>
        <sz val="7"/>
        <color theme="1"/>
        <rFont val="Times New Roman"/>
        <family val="1"/>
      </rPr>
      <t xml:space="preserve">          </t>
    </r>
    <r>
      <rPr>
        <sz val="8"/>
        <color theme="1"/>
        <rFont val="Arial"/>
        <family val="2"/>
      </rPr>
      <t>Woody weeds</t>
    </r>
  </si>
  <si>
    <r>
      <t>·</t>
    </r>
    <r>
      <rPr>
        <sz val="7"/>
        <color theme="1"/>
        <rFont val="Times New Roman"/>
        <family val="1"/>
      </rPr>
      <t xml:space="preserve">          </t>
    </r>
    <r>
      <rPr>
        <sz val="8"/>
        <color theme="1"/>
        <rFont val="Arial"/>
        <family val="2"/>
      </rPr>
      <t>Planted fast growing foods (annual and perennial)</t>
    </r>
  </si>
  <si>
    <r>
      <t>·</t>
    </r>
    <r>
      <rPr>
        <sz val="7"/>
        <color theme="1"/>
        <rFont val="Times New Roman"/>
        <family val="1"/>
      </rPr>
      <t xml:space="preserve">          </t>
    </r>
    <r>
      <rPr>
        <sz val="8"/>
        <color theme="1"/>
        <rFont val="Arial"/>
        <family val="2"/>
      </rPr>
      <t>Algae</t>
    </r>
  </si>
  <si>
    <t>Forest residues</t>
  </si>
  <si>
    <r>
      <t>·</t>
    </r>
    <r>
      <rPr>
        <sz val="7"/>
        <color theme="1"/>
        <rFont val="Times New Roman"/>
        <family val="1"/>
      </rPr>
      <t xml:space="preserve">          </t>
    </r>
    <r>
      <rPr>
        <sz val="8"/>
        <color theme="1"/>
        <rFont val="Arial"/>
        <family val="2"/>
      </rPr>
      <t>Plantation forests</t>
    </r>
  </si>
  <si>
    <r>
      <t>·</t>
    </r>
    <r>
      <rPr>
        <sz val="7"/>
        <color theme="1"/>
        <rFont val="Times New Roman"/>
        <family val="1"/>
      </rPr>
      <t xml:space="preserve">          </t>
    </r>
    <r>
      <rPr>
        <sz val="8"/>
        <color theme="1"/>
        <rFont val="Arial"/>
        <family val="2"/>
      </rPr>
      <t>Saw mills residues</t>
    </r>
  </si>
  <si>
    <r>
      <t>·</t>
    </r>
    <r>
      <rPr>
        <sz val="7"/>
        <color theme="1"/>
        <rFont val="Times New Roman"/>
        <family val="1"/>
      </rPr>
      <t xml:space="preserve">          </t>
    </r>
    <r>
      <rPr>
        <sz val="8"/>
        <color theme="1"/>
        <rFont val="Arial"/>
        <family val="2"/>
      </rPr>
      <t>Manufactured wood plant residues</t>
    </r>
  </si>
  <si>
    <t>Municipal waste</t>
  </si>
  <si>
    <r>
      <t>·</t>
    </r>
    <r>
      <rPr>
        <sz val="7"/>
        <color theme="1"/>
        <rFont val="Times New Roman"/>
        <family val="1"/>
      </rPr>
      <t xml:space="preserve">          </t>
    </r>
    <r>
      <rPr>
        <sz val="8"/>
        <color theme="1"/>
        <rFont val="Arial"/>
        <family val="2"/>
      </rPr>
      <t>Green organics, paper, timber</t>
    </r>
  </si>
  <si>
    <r>
      <t>·</t>
    </r>
    <r>
      <rPr>
        <sz val="7"/>
        <color theme="1"/>
        <rFont val="Times New Roman"/>
        <family val="1"/>
      </rPr>
      <t xml:space="preserve">          </t>
    </r>
    <r>
      <rPr>
        <sz val="8"/>
        <color theme="1"/>
        <rFont val="Arial"/>
        <family val="2"/>
      </rPr>
      <t>Processed food</t>
    </r>
  </si>
  <si>
    <t>Angaston</t>
  </si>
  <si>
    <t>Diesel</t>
  </si>
  <si>
    <t>Clements Gap</t>
  </si>
  <si>
    <t>Dry Creek GT</t>
  </si>
  <si>
    <t>OCGT</t>
  </si>
  <si>
    <t>Natural Gas Pipeline</t>
  </si>
  <si>
    <t>Hallett 4 North Brown Hill</t>
  </si>
  <si>
    <t>Hallett 5 The Bluff WF</t>
  </si>
  <si>
    <t>Hallett GT</t>
  </si>
  <si>
    <t>Hallett Stage 1 Brown Hill</t>
  </si>
  <si>
    <t>Hallett Stage 2 Hallett Hill</t>
  </si>
  <si>
    <t>Hornsdale Wind Farm Stage 1</t>
  </si>
  <si>
    <t>Ladbroke Grove</t>
  </si>
  <si>
    <t>Lake Bonney 2 Wind Farm</t>
  </si>
  <si>
    <t>Lake Bonney 3 Wind Farm</t>
  </si>
  <si>
    <t>Lonsdale</t>
  </si>
  <si>
    <t>Mintaro GT</t>
  </si>
  <si>
    <t>Osborne</t>
  </si>
  <si>
    <t>CCGT</t>
  </si>
  <si>
    <t>Port Lincoln GT</t>
  </si>
  <si>
    <t>Port Stanvac 1</t>
  </si>
  <si>
    <t>Quarantine</t>
  </si>
  <si>
    <t>Snowtown</t>
  </si>
  <si>
    <t>Snowtown S2</t>
  </si>
  <si>
    <t>Snuggery</t>
  </si>
  <si>
    <t>Torrens Island A</t>
  </si>
  <si>
    <t>Torrens Island B</t>
  </si>
  <si>
    <t>Waterloo</t>
  </si>
  <si>
    <t>Blue Lake Milling Power Plant</t>
  </si>
  <si>
    <t>Bolivar Waste Water Treatment</t>
  </si>
  <si>
    <t>Sewerage / Waste Water</t>
  </si>
  <si>
    <t>Canunda</t>
  </si>
  <si>
    <t>Cathedral Rocks</t>
  </si>
  <si>
    <t>Lake Bonney 1 Wind Farm</t>
  </si>
  <si>
    <t>Mt Millar</t>
  </si>
  <si>
    <t>Pedler Creek</t>
  </si>
  <si>
    <t>Landfill Methane / Landfill Gas</t>
  </si>
  <si>
    <t>Starfish Hill</t>
  </si>
  <si>
    <t>Tatiara Meats</t>
  </si>
  <si>
    <t>Terminal Storage Mini Hydro</t>
  </si>
  <si>
    <t>Water</t>
  </si>
  <si>
    <t>Wattle Point</t>
  </si>
  <si>
    <t>Wingfield 1</t>
  </si>
  <si>
    <t>Wingfield 2</t>
  </si>
  <si>
    <t>2016-17</t>
  </si>
  <si>
    <t>Hornsdale Wind Farm Stage 2</t>
  </si>
  <si>
    <t>Advanced and committed</t>
  </si>
  <si>
    <t>Developed</t>
  </si>
  <si>
    <t>Assumed capacity factor (%)</t>
  </si>
  <si>
    <t xml:space="preserve">Wind </t>
  </si>
  <si>
    <t>Table 1 Minimum LCOEs of natural gas, wind, and solar PV technologies</t>
  </si>
  <si>
    <t>Figure 1 South Australian registered capacity and generation output in 2015–16</t>
  </si>
  <si>
    <t xml:space="preserve">Table 2 List of existing generators by fuel type in South Australia </t>
  </si>
  <si>
    <t>Installed capacity (MW)</t>
  </si>
  <si>
    <t>Figure 2 South Australian registered capacity and generation output in July – December 2016</t>
  </si>
  <si>
    <t>Figure 3 Advanced, committed, and developed capacities in the NEM regions from 2014–15 to 2016–17</t>
  </si>
  <si>
    <t>• A new 275 kV link from Tailem Bend (SA) to Horsham (VIC), with a new 275 kV single circuit line from Tailem Bend to Tungkillo (SA), to provide increased interconnection (325 MW) from 2021
• New 275 kV link between Darlington Point (NSW) and Robertstown (SA) to provide increased interconnection (325 MW) from 2021
• Augmentation of QNI and VIC-NSW interconnectors</t>
  </si>
  <si>
    <t>Gas generation</t>
  </si>
  <si>
    <t>×</t>
  </si>
  <si>
    <t>Wind farms</t>
  </si>
  <si>
    <t>Solar thermal</t>
  </si>
  <si>
    <t>Geothermal</t>
  </si>
  <si>
    <t>Bioenergy</t>
  </si>
  <si>
    <t>Ocean</t>
  </si>
  <si>
    <t>Coal-fired generation</t>
  </si>
  <si>
    <t>Carbon capture and storage</t>
  </si>
  <si>
    <t>Integrated gasification combined cycle</t>
  </si>
  <si>
    <t>Nameplate capacity (MW)</t>
  </si>
  <si>
    <t>Pelican Point S2</t>
  </si>
  <si>
    <t>Natural gas pipeline</t>
  </si>
  <si>
    <t>Leigh Creek Energy project</t>
  </si>
  <si>
    <t>Coal seam methane</t>
  </si>
  <si>
    <r>
      <t>PV</t>
    </r>
    <r>
      <rPr>
        <sz val="8"/>
        <color theme="1"/>
        <rFont val="Arial"/>
        <family val="2"/>
      </rPr>
      <t xml:space="preserve"> and other inverter-connected generation providing ancillary services</t>
    </r>
  </si>
  <si>
    <r>
      <t>Demand management</t>
    </r>
    <r>
      <rPr>
        <sz val="8"/>
        <color theme="1"/>
        <rFont val="Arial"/>
        <family val="2"/>
      </rPr>
      <t xml:space="preserve"> providing broader ancillary services</t>
    </r>
  </si>
  <si>
    <r>
      <t xml:space="preserve">Change </t>
    </r>
    <r>
      <rPr>
        <b/>
        <sz val="8"/>
        <color theme="1"/>
        <rFont val="Arial"/>
        <family val="2"/>
      </rPr>
      <t>protection systems</t>
    </r>
    <r>
      <rPr>
        <sz val="8"/>
        <color theme="1"/>
        <rFont val="Arial"/>
        <family val="2"/>
      </rPr>
      <t xml:space="preserve"> to operate in weaker systems</t>
    </r>
  </si>
  <si>
    <t>2017 Assumed capacity factor (%)</t>
  </si>
  <si>
    <r>
      <t>Emissions (kgCO</t>
    </r>
    <r>
      <rPr>
        <b/>
        <vertAlign val="subscript"/>
        <sz val="8"/>
        <color rgb="FF000000"/>
        <rFont val="Arial"/>
        <family val="2"/>
      </rPr>
      <t>2</t>
    </r>
    <r>
      <rPr>
        <b/>
        <sz val="8"/>
        <color rgb="FF000000"/>
        <rFont val="Arial"/>
        <family val="2"/>
      </rPr>
      <t>-e/MWh)</t>
    </r>
  </si>
  <si>
    <t>2017 Assumed fuel cost ($/GJ)</t>
  </si>
  <si>
    <t>2017 Assumed max capacity factor (%)</t>
  </si>
  <si>
    <t>Assumed max capacity factor (%)</t>
  </si>
  <si>
    <t>Figure 21 South Australian LCOE versus capacity factor</t>
  </si>
  <si>
    <t xml:space="preserve">Figure 22 NEM LCOE versus capacity factor </t>
  </si>
  <si>
    <t>Non-renewables</t>
  </si>
  <si>
    <t>Renewables</t>
  </si>
  <si>
    <t>Solar PV: up to 32% capacity factor</t>
  </si>
  <si>
    <t>Figure 23 South Australia emissions at minimum LCOE</t>
  </si>
  <si>
    <t>Figure 24 NEM emissions at minimum LCOE</t>
  </si>
  <si>
    <t>WACC (%)</t>
  </si>
  <si>
    <t>Economic life (years)</t>
  </si>
  <si>
    <t>Biomass </t>
  </si>
  <si>
    <t>Solar PV (FFP) </t>
  </si>
  <si>
    <t>Pumped Hydro</t>
  </si>
  <si>
    <t>Table 3 Summary of South Australian generation projects and network investments</t>
  </si>
  <si>
    <t>This file contains the underlying data used in figures and tables from the 2017 South Australian Fuel and Technology Report (SAFTR). The figures are available in an accompanying zipped file of images.</t>
  </si>
  <si>
    <t>Pump capacity (MW)</t>
  </si>
  <si>
    <t>Gas projects with a combined capacity of 780 MW 
• Pelican Point S2 Power Station (320 MW)
• Leigh Creek Energy Project (460 MW)</t>
  </si>
  <si>
    <t>Solar projects with overall capacity up to 945 MW 
• Aurora Solar Energy (110 MW)
• Bungala Solar Power (220 MW)
• Kingfisher Solar Storage (120 MW)
• Port Augusta Renewable Energy Park - Solar (175 MW)
• Port Augusta Solar (220 MW)
• Taliem Bend - Solar (100 MW)</t>
  </si>
  <si>
    <t>• Yorke Peninsula Biomass (15 MW)</t>
  </si>
  <si>
    <t>• Tailem Bend - Diesel (28.8 MW)</t>
  </si>
  <si>
    <t>Table 6 Feedstock groupings in South Australia</t>
  </si>
  <si>
    <t>Table 7 Existing bio-energy materials in South Australia</t>
  </si>
  <si>
    <t>Table 8 Prospective bioenergy feedstocks in South Australia</t>
  </si>
  <si>
    <t>Table 9 South Australian coal resources</t>
  </si>
  <si>
    <t>Large-scale solar PV</t>
  </si>
  <si>
    <t>Hydroelectricity (including PHS)</t>
  </si>
  <si>
    <t>Grid-scale storage</t>
  </si>
  <si>
    <t xml:space="preserve">Table 10 Development interest by technology in NEM regions </t>
  </si>
  <si>
    <t>Table 13 Largest bioenergy projects</t>
  </si>
  <si>
    <t>Table 14 Applications for electricity storage</t>
  </si>
  <si>
    <t>Table 15 List of energy storage technologies</t>
  </si>
  <si>
    <t>Table 17 Prominent battery storage projects in South Australia</t>
  </si>
  <si>
    <t>Table 18 List of battery rechargeable electric vehicles</t>
  </si>
  <si>
    <t xml:space="preserve">Table 19 Total number of electric vehicles sold by April 2015 </t>
  </si>
  <si>
    <t>Table 20 Installed generation capacity in the NEM in terms of physical attributes as at June 2016</t>
  </si>
  <si>
    <t xml:space="preserve">Table 21 Summary of potential technical solutions for the identified challenges </t>
  </si>
  <si>
    <t>N/A*</t>
  </si>
  <si>
    <t xml:space="preserve">Table 22 LCOE and emissions comparison across renewable technologies </t>
  </si>
  <si>
    <t>Table 23 LCOE and emissions comparison across non-renewable technologies</t>
  </si>
  <si>
    <t>Table 24 LCOE and emissions comparison across storage technologies</t>
  </si>
  <si>
    <t>OCGT without CCS: up to 7% capacity factor</t>
  </si>
  <si>
    <t>OCGT without CCS: up to 10% capacity factor</t>
  </si>
  <si>
    <t>CCGT without CCS: from 8% capacity factor</t>
  </si>
  <si>
    <t>CCGT without CCS: from 11% capacity factor</t>
  </si>
  <si>
    <t>Table 25 Generation technology frontier</t>
  </si>
  <si>
    <t>Assumed Capacity Factor (%)</t>
  </si>
  <si>
    <r>
      <t>Assumed Capacity Factor (%)</t>
    </r>
    <r>
      <rPr>
        <b/>
        <vertAlign val="superscript"/>
        <sz val="8"/>
        <color rgb="FF000000"/>
        <rFont val="Arial"/>
        <family val="2"/>
      </rPr>
      <t xml:space="preserve"> </t>
    </r>
  </si>
  <si>
    <t xml:space="preserve">Table 26 Input assumptions of each technology </t>
  </si>
  <si>
    <t xml:space="preserve"> -   </t>
  </si>
  <si>
    <t>CCGT - Without CCS (CF 83.0%)</t>
  </si>
  <si>
    <t>CCGT - With CCS (CF 83.0%)</t>
  </si>
  <si>
    <t>Solar Thermal CR WS (CF 52.0%)</t>
  </si>
  <si>
    <t>OCGT - Without CCS (CF 10.0%)</t>
  </si>
  <si>
    <t>Supercritical PC - Black coal without CCS (CF 83.0%)</t>
  </si>
  <si>
    <t>Supercritical PC - Brown coal without CCS (CF 83.0%)</t>
  </si>
  <si>
    <t>Supercritical PC - Black coal with CCS (CF 83.0%)</t>
  </si>
  <si>
    <t>Supercritical PC - Brown coal with CCS (CF 83.0%)</t>
  </si>
  <si>
    <t>Table 11 Gas-fired generation technologies in South Australia as at 28 February 2017</t>
  </si>
  <si>
    <t>Table 12 Publicly announced OCGT and CCGT in South Australia as at 28 February 2017</t>
  </si>
  <si>
    <t>Table 16 Australian large-scale pumped hydro storage capacity as at 28 February 2017</t>
  </si>
  <si>
    <t>Emissions and Minimum LCOE in SA</t>
  </si>
  <si>
    <t>Emissions and Minimum LCOE in the NEM</t>
  </si>
  <si>
    <t>Back to Index tab</t>
  </si>
  <si>
    <t>Year</t>
  </si>
  <si>
    <t>Figure 6 South Australian total annual GPG gas consumption forecast and projected gas shortfalls</t>
  </si>
  <si>
    <t>Gas Demand</t>
  </si>
  <si>
    <t>GPG Shortfalls</t>
  </si>
  <si>
    <t>* Rooftop PV installations are not registered with AEMO, but are included here given their material contribution to generation. Estimates are from the 2016 NEFR.</t>
  </si>
  <si>
    <t>Pelican Point*</t>
  </si>
  <si>
    <t>* Pelican Point Power Station has reduced capacity of 239 MW from 1 April 2015.</t>
  </si>
  <si>
    <t>Wind projects with a total capacity up to 3,109.4 MW
• Barn Hill Wind Farm (124–186 MW)
• Carmodys Hill Wind Farm (140 MW)
• Ceres Project Wind Farm (up to 670 MW)
• Exmoor Wind Farm (144 MW)
• Hornsdale Wind Farm Stage 3 (109 MW)
• Keyneton Wind Farm (105 MW)
• Kongorong Wind Farm (100–240 MW)
• Kulpara Wind Farm (60–150 MW)
• Lincoln Gap Wind Farm (212.4 MW)
• Palmer Wind Farm (309 MW)
• Port Augusta Renewable Energy Park - Wind Farm (200 MW)
• Stony Gap Wind Farm (119 MW)
• Willogoleche Wind Farm (95–125 MW)
• Woakwine Wind Farm (400 MW)</t>
  </si>
  <si>
    <t>• Spencer Gulf Pumped Hydro Storage (100–200 MW)
• Cultana Pumped Hydro Storage, Eyre Peninsula (TBD**)</t>
  </si>
  <si>
    <t>Solar*</t>
  </si>
  <si>
    <t>Potential new interconnection***</t>
  </si>
  <si>
    <t>* Includes both solar thermal with storage, and solar PV projects.</t>
  </si>
  <si>
    <t>**To be determined.</t>
  </si>
  <si>
    <t>*** AEMO. National Transmission Network Development Plan. December 2016. Available: https://www.aemo.com.au/Electricity/National-Electricity-Market-NEM/Planning-and-forecasting/National-Transmission-Network-Development-Plan.</t>
  </si>
  <si>
    <t>Table 4 South Australian gas consumption 2013–16</t>
  </si>
  <si>
    <t xml:space="preserve">Note: To access the South Australian data, please go to http://forecasting.aemo.com.au/, click Gas on the ribbon menu, and use the Filter button to select South Australia. </t>
  </si>
  <si>
    <t>* Data from AEMO, National Electricity &amp; Gas Forecasting dynamic interface. Available: http://forecasting.aemo.com.au/. Viewed: 20 December 2016.</t>
  </si>
  <si>
    <t>Table 5 Major gas pipelines relating to South Australia*</t>
  </si>
  <si>
    <t>South West Queensland Pipeline***</t>
  </si>
  <si>
    <t>Capacity reported as at December 2016 (TJ/d)*</t>
  </si>
  <si>
    <t>* Data from AEMO. Natural Gas Services Bulletin Board. Available: http://gbb.aemo.com.au/Reports/Standing%20Capacities.aspx. Viewed: 20 December 2016.</t>
  </si>
  <si>
    <t>** Reported capacity from Gas Bulletin Board as at December 2016, viewed January 2017. Summer and winter seasonal capacities may vary.</t>
  </si>
  <si>
    <r>
      <t>***</t>
    </r>
    <r>
      <rPr>
        <vertAlign val="superscript"/>
        <sz val="7"/>
        <rFont val="Arial"/>
        <family val="2"/>
      </rPr>
      <t xml:space="preserve"> </t>
    </r>
    <r>
      <rPr>
        <sz val="7"/>
        <rFont val="Arial"/>
        <family val="2"/>
      </rPr>
      <t>Includes the Queensland – South Australia – New South Wales (QSN) Link.</t>
    </r>
  </si>
  <si>
    <t>Development interest</t>
  </si>
  <si>
    <t>Sub-critical steam turbine**</t>
  </si>
  <si>
    <t>** Torrens Island A and B power stations (1,280 MW) are classified steam sub-critical in AEMO’s Generation Information webpage.</t>
  </si>
  <si>
    <t>Battery storage</t>
  </si>
  <si>
    <t>Pumped hydro energy storage (PHS)</t>
  </si>
  <si>
    <r>
      <t>Hydrogen (H</t>
    </r>
    <r>
      <rPr>
        <b/>
        <vertAlign val="subscript"/>
        <sz val="8"/>
        <color rgb="FFFFFFFF"/>
        <rFont val="Arial"/>
        <family val="2"/>
      </rPr>
      <t>2</t>
    </r>
    <r>
      <rPr>
        <b/>
        <sz val="8"/>
        <color rgb="FFFFFFFF"/>
        <rFont val="Arial"/>
        <family val="2"/>
      </rPr>
      <t>)</t>
    </r>
  </si>
  <si>
    <t>Total cycle efficiency is low due to the many conversion steps: electrolyser (efficiency 60%), hydrogen storage (90%), and CCGT (50%) – the final efficiency is less than 32%.</t>
  </si>
  <si>
    <t>Lithium-based (Li-ion)</t>
  </si>
  <si>
    <t>Lead-acid (LA)</t>
  </si>
  <si>
    <t>Sodium-sulphur (NaS)</t>
  </si>
  <si>
    <t xml:space="preserve">Flow battery </t>
  </si>
  <si>
    <r>
      <t>Sodium-nickel-chloride (NaNiCl</t>
    </r>
    <r>
      <rPr>
        <i/>
        <vertAlign val="subscript"/>
        <sz val="8"/>
        <color theme="0"/>
        <rFont val="Arial"/>
        <family val="2"/>
      </rPr>
      <t>2</t>
    </r>
    <r>
      <rPr>
        <i/>
        <sz val="8"/>
        <color theme="0"/>
        <rFont val="Arial"/>
        <family val="2"/>
      </rPr>
      <t>)</t>
    </r>
  </si>
  <si>
    <t>Frequency control (including extreme</t>
  </si>
  <si>
    <t>Insufficient FCAS*</t>
  </si>
  <si>
    <t>UFLS*/OFGS* operation (high RoCoF)</t>
  </si>
  <si>
    <t>* FCAS – Frequency control ancillary services, UFLS – Under-frequency load shedding, OFGS – Over-frequency generation shedding</t>
  </si>
  <si>
    <r>
      <t xml:space="preserve">* Updated technology cost projections were not available for these technologies as part of the 2015 </t>
    </r>
    <r>
      <rPr>
        <i/>
        <sz val="7"/>
        <color theme="1"/>
        <rFont val="Arial"/>
        <family val="2"/>
      </rPr>
      <t>Australian Power Generation Technology Report</t>
    </r>
    <r>
      <rPr>
        <sz val="7"/>
        <color theme="1"/>
        <rFont val="Arial"/>
        <family val="2"/>
      </rPr>
      <t xml:space="preserve">. </t>
    </r>
  </si>
  <si>
    <t>Fuel Costs ($/GJ)*</t>
  </si>
  <si>
    <t>Thermal efficiency (%)**</t>
  </si>
  <si>
    <t>Table 27 LCOE and emissions input data - renewable</t>
  </si>
  <si>
    <t>* Fuel costs may vary by location. Representative value indicated either South Australian value or lowest in NEM.</t>
  </si>
  <si>
    <t>** Sent out HHV (Higher Heating Value).</t>
  </si>
  <si>
    <t>Table 28 LCOE and emissions input data - non-renewable</t>
  </si>
  <si>
    <t>Table 29 2017 minimum LCOE with carbon price in South Australia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</si>
</sst>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0_);_(* \(#,##0.00\);_(* &quot;-&quot;??_);_(@_)"/>
    <numFmt numFmtId="165" formatCode="0.0%"/>
    <numFmt numFmtId="166" formatCode="0.0"/>
    <numFmt numFmtId="167" formatCode="#,##0.0"/>
    <numFmt numFmtId="168" formatCode="_-* #,##0_-;\-* #,##0_-;_-* &quot;-&quot;??_-;_-@_-"/>
  </numFmts>
  <fonts count="87"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8"/>
      <color theme="1"/>
      <name val="Arial"/>
      <family val="2"/>
    </font>
    <font>
      <b/>
      <sz val="8"/>
      <color rgb="FF000000"/>
      <name val="Arial"/>
      <family val="2"/>
    </font>
    <font>
      <b/>
      <sz val="8"/>
      <color theme="1"/>
      <name val="Arial"/>
      <family val="2"/>
    </font>
    <font>
      <b/>
      <sz val="8"/>
      <color rgb="FFFFFFFF"/>
      <name val="Arial"/>
      <family val="2"/>
    </font>
    <font>
      <sz val="8"/>
      <color rgb="FFFFFFFF"/>
      <name val="Arial"/>
      <family val="2"/>
    </font>
    <font>
      <sz val="10"/>
      <color theme="1"/>
      <name val="Arial"/>
      <family val="2"/>
    </font>
    <font>
      <sz val="7"/>
      <color theme="1"/>
      <name val="Arial"/>
      <family val="2"/>
    </font>
    <font>
      <u/>
      <sz val="11"/>
      <color theme="10"/>
      <name val="Arial"/>
      <family val="2"/>
    </font>
    <font>
      <b/>
      <sz val="10"/>
      <color theme="1"/>
      <name val="Arial"/>
      <family val="2"/>
    </font>
    <font>
      <sz val="11"/>
      <color indexed="8"/>
      <name val="Calibri"/>
      <family val="2"/>
    </font>
    <font>
      <sz val="10"/>
      <color theme="0"/>
      <name val="Arial"/>
      <family val="2"/>
    </font>
    <font>
      <sz val="11"/>
      <color indexed="9"/>
      <name val="Calibri"/>
      <family val="2"/>
    </font>
    <font>
      <sz val="11"/>
      <color theme="0"/>
      <name val="Calibri"/>
      <family val="2"/>
      <scheme val="minor"/>
    </font>
    <font>
      <sz val="10"/>
      <color rgb="FF9C0006"/>
      <name val="Arial"/>
      <family val="2"/>
    </font>
    <font>
      <sz val="11"/>
      <color indexed="16"/>
      <name val="Calibri"/>
      <family val="2"/>
    </font>
    <font>
      <sz val="11"/>
      <color indexed="20"/>
      <name val="Calibri"/>
      <family val="2"/>
    </font>
    <font>
      <sz val="11"/>
      <color rgb="FF9C0006"/>
      <name val="Calibri"/>
      <family val="2"/>
      <scheme val="minor"/>
    </font>
    <font>
      <b/>
      <sz val="10"/>
      <color rgb="FFFA7D00"/>
      <name val="Arial"/>
      <family val="2"/>
    </font>
    <font>
      <b/>
      <sz val="11"/>
      <color indexed="53"/>
      <name val="Calibri"/>
      <family val="2"/>
    </font>
    <font>
      <b/>
      <sz val="11"/>
      <color indexed="52"/>
      <name val="Calibri"/>
      <family val="2"/>
    </font>
    <font>
      <b/>
      <sz val="10"/>
      <color theme="0"/>
      <name val="Arial"/>
      <family val="2"/>
    </font>
    <font>
      <b/>
      <sz val="11"/>
      <color indexed="9"/>
      <name val="Calibri"/>
      <family val="2"/>
    </font>
    <font>
      <sz val="10"/>
      <name val="Arial"/>
      <family val="2"/>
    </font>
    <font>
      <b/>
      <sz val="11"/>
      <color indexed="8"/>
      <name val="Calibri"/>
      <family val="2"/>
    </font>
    <font>
      <i/>
      <sz val="10"/>
      <color rgb="FF7F7F7F"/>
      <name val="Arial"/>
      <family val="2"/>
    </font>
    <font>
      <i/>
      <sz val="11"/>
      <color indexed="23"/>
      <name val="Calibri"/>
      <family val="2"/>
    </font>
    <font>
      <sz val="10"/>
      <color rgb="FF006100"/>
      <name val="Arial"/>
      <family val="2"/>
    </font>
    <font>
      <sz val="11"/>
      <color indexed="17"/>
      <name val="Calibri"/>
      <family val="2"/>
    </font>
    <font>
      <sz val="11"/>
      <color rgb="FF006100"/>
      <name val="Calibri"/>
      <family val="2"/>
      <scheme val="minor"/>
    </font>
    <font>
      <b/>
      <sz val="15"/>
      <color indexed="62"/>
      <name val="Calibri"/>
      <family val="2"/>
    </font>
    <font>
      <b/>
      <sz val="15"/>
      <color indexed="45"/>
      <name val="Calibri"/>
      <family val="2"/>
    </font>
    <font>
      <b/>
      <sz val="13"/>
      <color indexed="62"/>
      <name val="Calibri"/>
      <family val="2"/>
    </font>
    <font>
      <b/>
      <sz val="13"/>
      <color indexed="45"/>
      <name val="Calibri"/>
      <family val="2"/>
    </font>
    <font>
      <b/>
      <sz val="11"/>
      <color indexed="62"/>
      <name val="Calibri"/>
      <family val="2"/>
    </font>
    <font>
      <b/>
      <sz val="11"/>
      <color indexed="45"/>
      <name val="Calibri"/>
      <family val="2"/>
    </font>
    <font>
      <sz val="10"/>
      <color rgb="FF3F3F76"/>
      <name val="Arial"/>
      <family val="2"/>
    </font>
    <font>
      <sz val="11"/>
      <color indexed="45"/>
      <name val="Calibri"/>
      <family val="2"/>
    </font>
    <font>
      <sz val="10"/>
      <color rgb="FFFA7D00"/>
      <name val="Arial"/>
      <family val="2"/>
    </font>
    <font>
      <sz val="11"/>
      <color indexed="53"/>
      <name val="Calibri"/>
      <family val="2"/>
    </font>
    <font>
      <sz val="11"/>
      <color indexed="52"/>
      <name val="Calibri"/>
      <family val="2"/>
    </font>
    <font>
      <sz val="10"/>
      <color rgb="FF9C6500"/>
      <name val="Arial"/>
      <family val="2"/>
    </font>
    <font>
      <sz val="11"/>
      <color indexed="60"/>
      <name val="Calibri"/>
      <family val="2"/>
    </font>
    <font>
      <sz val="11"/>
      <color rgb="FF9C6500"/>
      <name val="Calibri"/>
      <family val="2"/>
      <scheme val="minor"/>
    </font>
    <font>
      <sz val="11"/>
      <color theme="1"/>
      <name val="Calibri"/>
      <family val="2"/>
      <scheme val="minor"/>
    </font>
    <font>
      <b/>
      <sz val="10"/>
      <color rgb="FF3F3F3F"/>
      <name val="Arial"/>
      <family val="2"/>
    </font>
    <font>
      <b/>
      <sz val="11"/>
      <color indexed="63"/>
      <name val="Calibri"/>
      <family val="2"/>
    </font>
    <font>
      <sz val="8"/>
      <color rgb="FF000099"/>
      <name val="Arial"/>
      <family val="2"/>
    </font>
    <font>
      <b/>
      <sz val="18"/>
      <color indexed="45"/>
      <name val="Cambria"/>
      <family val="2"/>
    </font>
    <font>
      <sz val="7"/>
      <name val="Arial"/>
      <family val="2"/>
    </font>
    <font>
      <sz val="7"/>
      <color theme="0"/>
      <name val="Arial"/>
      <family val="2"/>
    </font>
    <font>
      <b/>
      <sz val="18"/>
      <color indexed="62"/>
      <name val="Cambria"/>
      <family val="2"/>
    </font>
    <font>
      <sz val="10"/>
      <color rgb="FFFF0000"/>
      <name val="Arial"/>
      <family val="2"/>
    </font>
    <font>
      <sz val="11"/>
      <color indexed="10"/>
      <name val="Calibri"/>
      <family val="2"/>
    </font>
    <font>
      <u/>
      <sz val="10"/>
      <color theme="10"/>
      <name val="Arial"/>
      <family val="2"/>
    </font>
    <font>
      <u/>
      <sz val="10"/>
      <color theme="11"/>
      <name val="Arial"/>
      <family val="2"/>
    </font>
    <font>
      <b/>
      <sz val="9"/>
      <color theme="1"/>
      <name val="Arial"/>
      <family val="2"/>
    </font>
    <font>
      <sz val="8"/>
      <color rgb="FF000000"/>
      <name val="Arial"/>
      <family val="2"/>
    </font>
    <font>
      <u/>
      <sz val="10"/>
      <color rgb="FFFF0000"/>
      <name val="Arial"/>
      <family val="2"/>
    </font>
    <font>
      <b/>
      <vertAlign val="superscript"/>
      <sz val="8"/>
      <color rgb="FF000000"/>
      <name val="Arial"/>
      <family val="2"/>
    </font>
    <font>
      <sz val="11"/>
      <color rgb="FF000000"/>
      <name val="Calibri"/>
      <family val="2"/>
      <scheme val="minor"/>
    </font>
    <font>
      <sz val="11"/>
      <color rgb="FF000000"/>
      <name val="Arial"/>
      <family val="2"/>
    </font>
    <font>
      <sz val="8"/>
      <color theme="1"/>
      <name val="Symbol"/>
      <family val="1"/>
      <charset val="2"/>
    </font>
    <font>
      <sz val="7"/>
      <color theme="1"/>
      <name val="Times New Roman"/>
      <family val="1"/>
    </font>
    <font>
      <b/>
      <sz val="8"/>
      <name val="Arial"/>
      <family val="2"/>
    </font>
    <font>
      <sz val="9"/>
      <color theme="1"/>
      <name val="Arial"/>
      <family val="2"/>
    </font>
    <font>
      <strike/>
      <sz val="8"/>
      <color theme="1"/>
      <name val="Arial"/>
      <family val="2"/>
    </font>
    <font>
      <vertAlign val="superscript"/>
      <sz val="8"/>
      <color theme="1"/>
      <name val="Arial"/>
      <family val="2"/>
    </font>
    <font>
      <vertAlign val="subscript"/>
      <sz val="8"/>
      <color theme="1"/>
      <name val="Arial"/>
      <family val="2"/>
    </font>
    <font>
      <sz val="10"/>
      <color theme="1"/>
      <name val="Wingdings 2"/>
      <family val="1"/>
      <charset val="2"/>
    </font>
    <font>
      <b/>
      <vertAlign val="subscript"/>
      <sz val="8"/>
      <color theme="1"/>
      <name val="Arial"/>
      <family val="2"/>
    </font>
    <font>
      <b/>
      <sz val="7"/>
      <color rgb="FF000000"/>
      <name val="Arial"/>
      <family val="2"/>
    </font>
    <font>
      <b/>
      <vertAlign val="subscript"/>
      <sz val="7"/>
      <color rgb="FF000000"/>
      <name val="Arial"/>
      <family val="2"/>
    </font>
    <font>
      <b/>
      <sz val="7"/>
      <color rgb="FFFFFFFF"/>
      <name val="Arial"/>
      <family val="2"/>
    </font>
    <font>
      <sz val="7"/>
      <color rgb="FF000000"/>
      <name val="Arial"/>
      <family val="2"/>
    </font>
    <font>
      <sz val="8"/>
      <name val="Arial"/>
      <family val="2"/>
    </font>
    <font>
      <sz val="8"/>
      <color rgb="FF000000"/>
      <name val="Wingdings 2"/>
      <family val="1"/>
      <charset val="2"/>
    </font>
    <font>
      <b/>
      <vertAlign val="subscript"/>
      <sz val="8"/>
      <color rgb="FF000000"/>
      <name val="Arial"/>
      <family val="2"/>
    </font>
    <font>
      <i/>
      <sz val="7"/>
      <color theme="1"/>
      <name val="Arial"/>
      <family val="2"/>
    </font>
    <font>
      <vertAlign val="superscript"/>
      <sz val="7"/>
      <name val="Arial"/>
      <family val="2"/>
    </font>
    <font>
      <b/>
      <vertAlign val="subscript"/>
      <sz val="8"/>
      <color rgb="FFFFFFFF"/>
      <name val="Arial"/>
      <family val="2"/>
    </font>
    <font>
      <i/>
      <sz val="8"/>
      <color theme="0"/>
      <name val="Arial"/>
      <family val="2"/>
    </font>
    <font>
      <i/>
      <vertAlign val="subscript"/>
      <sz val="8"/>
      <color theme="0"/>
      <name val="Arial"/>
      <family val="2"/>
    </font>
  </fonts>
  <fills count="7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9F8F6"/>
        <bgColor indexed="64"/>
      </patternFill>
    </fill>
    <fill>
      <patternFill patternType="solid">
        <fgColor theme="0"/>
        <bgColor indexed="64"/>
      </patternFill>
    </fill>
    <fill>
      <patternFill patternType="solid">
        <fgColor indexed="51"/>
      </patternFill>
    </fill>
    <fill>
      <patternFill patternType="solid">
        <fgColor indexed="47"/>
      </patternFill>
    </fill>
    <fill>
      <patternFill patternType="solid">
        <fgColor indexed="26"/>
      </patternFill>
    </fill>
    <fill>
      <patternFill patternType="solid">
        <fgColor indexed="14"/>
      </patternFill>
    </fill>
    <fill>
      <patternFill patternType="solid">
        <fgColor indexed="29"/>
      </patternFill>
    </fill>
    <fill>
      <patternFill patternType="solid">
        <fgColor indexed="43"/>
      </patternFill>
    </fill>
    <fill>
      <patternFill patternType="solid">
        <fgColor indexed="22"/>
      </patternFill>
    </fill>
    <fill>
      <patternFill patternType="solid">
        <fgColor indexed="49"/>
      </patternFill>
    </fill>
    <fill>
      <patternFill patternType="solid">
        <fgColor indexed="51"/>
        <bgColor indexed="51"/>
      </patternFill>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14"/>
        <bgColor indexed="14"/>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57"/>
      </patternFill>
    </fill>
    <fill>
      <patternFill patternType="solid">
        <fgColor indexed="54"/>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26"/>
        <bgColor indexed="26"/>
      </patternFill>
    </fill>
    <fill>
      <patternFill patternType="solid">
        <fgColor indexed="46"/>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2"/>
        <bgColor indexed="42"/>
      </patternFill>
    </fill>
    <fill>
      <patternFill patternType="solid">
        <fgColor indexed="42"/>
      </patternFill>
    </fill>
    <fill>
      <patternFill patternType="solid">
        <fgColor indexed="43"/>
        <bgColor indexed="43"/>
      </patternFill>
    </fill>
    <fill>
      <patternFill patternType="solid">
        <fgColor rgb="FFE6E6E6"/>
        <bgColor indexed="64"/>
      </patternFill>
    </fill>
    <fill>
      <patternFill patternType="solid">
        <fgColor rgb="FFD9D9D9"/>
        <bgColor indexed="64"/>
      </patternFill>
    </fill>
    <fill>
      <patternFill patternType="solid">
        <fgColor theme="1"/>
        <bgColor indexed="64"/>
      </patternFill>
    </fill>
    <fill>
      <patternFill patternType="solid">
        <fgColor rgb="FFD4CEC6"/>
        <bgColor indexed="64"/>
      </patternFill>
    </fill>
    <fill>
      <patternFill patternType="solid">
        <fgColor rgb="FF1E4164"/>
        <bgColor indexed="64"/>
      </patternFill>
    </fill>
    <fill>
      <patternFill patternType="solid">
        <fgColor rgb="FFDCE3E7"/>
        <bgColor indexed="64"/>
      </patternFill>
    </fill>
    <fill>
      <patternFill patternType="solid">
        <fgColor rgb="FFF2F2F2"/>
        <bgColor indexed="64"/>
      </patternFill>
    </fill>
    <fill>
      <patternFill patternType="solid">
        <fgColor theme="0" tint="-4.9989318521683403E-2"/>
        <bgColor indexed="64"/>
      </patternFill>
    </fill>
    <fill>
      <patternFill patternType="solid">
        <fgColor rgb="FFA6A6A6"/>
        <bgColor indexed="64"/>
      </patternFill>
    </fill>
    <fill>
      <patternFill patternType="solid">
        <fgColor rgb="FFEFEBEB"/>
        <bgColor indexed="64"/>
      </patternFill>
    </fill>
  </fills>
  <borders count="3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FFFFFF"/>
      </bottom>
      <diagonal/>
    </border>
    <border>
      <left/>
      <right style="medium">
        <color rgb="FFFFFFFF"/>
      </right>
      <top/>
      <bottom style="medium">
        <color rgb="FFFFFFFF"/>
      </bottom>
      <diagonal/>
    </border>
    <border>
      <left/>
      <right style="medium">
        <color rgb="FFFFFFFF"/>
      </right>
      <top/>
      <bottom/>
      <diagonal/>
    </border>
    <border>
      <left style="medium">
        <color rgb="FFFFFFFF"/>
      </left>
      <right/>
      <top/>
      <bottom style="medium">
        <color rgb="FFFFFFFF"/>
      </bottom>
      <diagonal/>
    </border>
    <border>
      <left style="medium">
        <color rgb="FFFFFFFF"/>
      </left>
      <right/>
      <top/>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style="thin">
        <color indexed="64"/>
      </top>
      <bottom style="thick">
        <color indexed="64"/>
      </bottom>
      <diagonal/>
    </border>
    <border>
      <left/>
      <right/>
      <top/>
      <bottom style="thick">
        <color indexed="49"/>
      </bottom>
      <diagonal/>
    </border>
    <border>
      <left/>
      <right/>
      <top/>
      <bottom style="thick">
        <color indexed="54"/>
      </bottom>
      <diagonal/>
    </border>
    <border>
      <left/>
      <right/>
      <top/>
      <bottom style="thick">
        <color indexed="51"/>
      </bottom>
      <diagonal/>
    </border>
    <border>
      <left/>
      <right/>
      <top/>
      <bottom style="thick">
        <color indexed="22"/>
      </bottom>
      <diagonal/>
    </border>
    <border>
      <left/>
      <right/>
      <top/>
      <bottom style="medium">
        <color indexed="51"/>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thin">
        <color indexed="49"/>
      </top>
      <bottom style="double">
        <color indexed="49"/>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
      <left/>
      <right style="medium">
        <color rgb="FFFFFFFF"/>
      </right>
      <top style="medium">
        <color rgb="FFFFFFFF"/>
      </top>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right/>
      <top style="medium">
        <color rgb="FFFFFFFF"/>
      </top>
      <bottom/>
      <diagonal/>
    </border>
  </borders>
  <cellStyleXfs count="484">
    <xf numFmtId="0" fontId="0" fillId="0" borderId="0"/>
    <xf numFmtId="0" fontId="58" fillId="0" borderId="0" applyNumberFormat="0" applyFill="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4" fillId="35"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4" fillId="36"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4" fillId="3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4" fillId="38"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4" fillId="35"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4" fillId="36"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4" fillId="35"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4" fillId="39"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4" fillId="40"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4" fillId="41"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4" fillId="35"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4" fillId="36"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6" fillId="45" borderId="0" applyNumberFormat="0" applyBorder="0" applyAlignment="0" applyProtection="0"/>
    <xf numFmtId="0" fontId="15" fillId="9" borderId="0" applyNumberFormat="0" applyBorder="0" applyAlignment="0" applyProtection="0"/>
    <xf numFmtId="0" fontId="16" fillId="46"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6" fillId="49" borderId="0" applyNumberFormat="0" applyBorder="0" applyAlignment="0" applyProtection="0"/>
    <xf numFmtId="0" fontId="15" fillId="13" borderId="0" applyNumberFormat="0" applyBorder="0" applyAlignment="0" applyProtection="0"/>
    <xf numFmtId="0" fontId="16" fillId="5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4" fillId="47" borderId="0" applyNumberFormat="0" applyBorder="0" applyAlignment="0" applyProtection="0"/>
    <xf numFmtId="0" fontId="14" fillId="43" borderId="0" applyNumberFormat="0" applyBorder="0" applyAlignment="0" applyProtection="0"/>
    <xf numFmtId="0" fontId="16" fillId="48" borderId="0" applyNumberFormat="0" applyBorder="0" applyAlignment="0" applyProtection="0"/>
    <xf numFmtId="0" fontId="15" fillId="17" borderId="0" applyNumberFormat="0" applyBorder="0" applyAlignment="0" applyProtection="0"/>
    <xf numFmtId="0" fontId="16" fillId="49"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6" fillId="48" borderId="0" applyNumberFormat="0" applyBorder="0" applyAlignment="0" applyProtection="0"/>
    <xf numFmtId="0" fontId="15" fillId="21" borderId="0" applyNumberFormat="0" applyBorder="0" applyAlignment="0" applyProtection="0"/>
    <xf numFmtId="0" fontId="16" fillId="46"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47" borderId="0" applyNumberFormat="0" applyBorder="0" applyAlignment="0" applyProtection="0"/>
    <xf numFmtId="0" fontId="14" fillId="43" borderId="0" applyNumberFormat="0" applyBorder="0" applyAlignment="0" applyProtection="0"/>
    <xf numFmtId="0" fontId="16" fillId="45" borderId="0" applyNumberFormat="0" applyBorder="0" applyAlignment="0" applyProtection="0"/>
    <xf numFmtId="0" fontId="15" fillId="25" borderId="0" applyNumberFormat="0" applyBorder="0" applyAlignment="0" applyProtection="0"/>
    <xf numFmtId="0" fontId="16" fillId="54"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4" fillId="47"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5" fillId="29" borderId="0" applyNumberFormat="0" applyBorder="0" applyAlignment="0" applyProtection="0"/>
    <xf numFmtId="0" fontId="16" fillId="56"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8" fillId="3" borderId="0" applyNumberFormat="0" applyBorder="0" applyAlignment="0" applyProtection="0"/>
    <xf numFmtId="0" fontId="19" fillId="58"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1" fillId="3" borderId="0" applyNumberFormat="0" applyBorder="0" applyAlignment="0" applyProtection="0"/>
    <xf numFmtId="0" fontId="22" fillId="6" borderId="1" applyNumberFormat="0" applyAlignment="0" applyProtection="0"/>
    <xf numFmtId="0" fontId="23" fillId="47" borderId="14" applyNumberFormat="0" applyAlignment="0" applyProtection="0"/>
    <xf numFmtId="0" fontId="22" fillId="6" borderId="1" applyNumberFormat="0" applyAlignment="0" applyProtection="0"/>
    <xf numFmtId="0" fontId="22" fillId="6" borderId="1" applyNumberFormat="0" applyAlignment="0" applyProtection="0"/>
    <xf numFmtId="0" fontId="24" fillId="38" borderId="14" applyNumberFormat="0" applyAlignment="0" applyProtection="0"/>
    <xf numFmtId="0" fontId="24" fillId="38" borderId="14" applyNumberFormat="0" applyAlignment="0" applyProtection="0"/>
    <xf numFmtId="0" fontId="25" fillId="7" borderId="4" applyNumberFormat="0" applyAlignment="0" applyProtection="0"/>
    <xf numFmtId="0" fontId="26" fillId="49" borderId="15" applyNumberFormat="0" applyAlignment="0" applyProtection="0"/>
    <xf numFmtId="0" fontId="25" fillId="7" borderId="4" applyNumberFormat="0" applyAlignment="0" applyProtection="0"/>
    <xf numFmtId="0" fontId="25" fillId="7" borderId="4" applyNumberFormat="0" applyAlignment="0" applyProtection="0"/>
    <xf numFmtId="0" fontId="26" fillId="60" borderId="15" applyNumberFormat="0" applyAlignment="0" applyProtection="0"/>
    <xf numFmtId="0" fontId="26" fillId="60" borderId="15" applyNumberFormat="0" applyAlignment="0" applyProtection="0"/>
    <xf numFmtId="43" fontId="10"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43" fontId="27"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43" fontId="10" fillId="0" borderId="0" applyFont="0" applyFill="0" applyBorder="0" applyAlignment="0" applyProtection="0"/>
    <xf numFmtId="164" fontId="27" fillId="0" borderId="0" applyFont="0" applyFill="0" applyBorder="0" applyAlignment="0" applyProtection="0"/>
    <xf numFmtId="43" fontId="10" fillId="0" borderId="0" applyFont="0" applyFill="0" applyBorder="0" applyAlignment="0" applyProtection="0"/>
    <xf numFmtId="43"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43" fontId="27"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8" fillId="61"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11" fillId="0" borderId="16">
      <alignment horizontal="center" vertical="center"/>
    </xf>
    <xf numFmtId="0" fontId="11" fillId="0" borderId="17">
      <alignment horizontal="center" vertical="center"/>
    </xf>
    <xf numFmtId="0" fontId="11" fillId="0" borderId="16">
      <alignment horizontal="right" vertical="center"/>
    </xf>
    <xf numFmtId="0" fontId="11" fillId="0" borderId="17">
      <alignment horizontal="right" vertical="center"/>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2" borderId="0" applyNumberFormat="0" applyBorder="0" applyAlignment="0" applyProtection="0"/>
    <xf numFmtId="0" fontId="32" fillId="64"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2" fillId="65" borderId="0" applyNumberFormat="0" applyBorder="0" applyAlignment="0" applyProtection="0"/>
    <xf numFmtId="0" fontId="32" fillId="65" borderId="0" applyNumberFormat="0" applyBorder="0" applyAlignment="0" applyProtection="0"/>
    <xf numFmtId="0" fontId="33" fillId="2" borderId="0" applyNumberFormat="0" applyBorder="0" applyAlignment="0" applyProtection="0"/>
    <xf numFmtId="0" fontId="34" fillId="0" borderId="18" applyNumberFormat="0" applyFill="0" applyAlignment="0" applyProtection="0"/>
    <xf numFmtId="0" fontId="35" fillId="0" borderId="19" applyNumberFormat="0" applyFill="0" applyAlignment="0" applyProtection="0"/>
    <xf numFmtId="0" fontId="36" fillId="0" borderId="20" applyNumberFormat="0" applyFill="0" applyAlignment="0" applyProtection="0"/>
    <xf numFmtId="0" fontId="37" fillId="0" borderId="21" applyNumberFormat="0" applyFill="0" applyAlignment="0" applyProtection="0"/>
    <xf numFmtId="0" fontId="38" fillId="0" borderId="22" applyNumberFormat="0" applyFill="0" applyAlignment="0" applyProtection="0"/>
    <xf numFmtId="0" fontId="39" fillId="0" borderId="23"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2" fillId="0" borderId="0" applyNumberFormat="0" applyFill="0" applyBorder="0" applyAlignment="0" applyProtection="0"/>
    <xf numFmtId="0" fontId="40" fillId="5" borderId="1" applyNumberFormat="0" applyAlignment="0" applyProtection="0"/>
    <xf numFmtId="0" fontId="41" fillId="55" borderId="14" applyNumberFormat="0" applyAlignment="0" applyProtection="0"/>
    <xf numFmtId="0" fontId="40" fillId="5" borderId="1" applyNumberFormat="0" applyAlignment="0" applyProtection="0"/>
    <xf numFmtId="0" fontId="40" fillId="5" borderId="1" applyNumberFormat="0" applyAlignment="0" applyProtection="0"/>
    <xf numFmtId="0" fontId="41" fillId="36" borderId="14" applyNumberFormat="0" applyAlignment="0" applyProtection="0"/>
    <xf numFmtId="0" fontId="41" fillId="36" borderId="14" applyNumberFormat="0" applyAlignment="0" applyProtection="0"/>
    <xf numFmtId="0" fontId="42" fillId="0" borderId="3" applyNumberFormat="0" applyFill="0" applyAlignment="0" applyProtection="0"/>
    <xf numFmtId="0" fontId="43" fillId="0" borderId="24"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44" fillId="0" borderId="24" applyNumberFormat="0" applyFill="0" applyAlignment="0" applyProtection="0"/>
    <xf numFmtId="0" fontId="44" fillId="0" borderId="24" applyNumberFormat="0" applyFill="0" applyAlignment="0" applyProtection="0"/>
    <xf numFmtId="0" fontId="45" fillId="4" borderId="0" applyNumberFormat="0" applyBorder="0" applyAlignment="0" applyProtection="0"/>
    <xf numFmtId="0" fontId="46" fillId="66"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7" fillId="4" borderId="0" applyNumberFormat="0" applyBorder="0" applyAlignment="0" applyProtection="0"/>
    <xf numFmtId="0" fontId="27" fillId="0" borderId="0"/>
    <xf numFmtId="0" fontId="48" fillId="0" borderId="0"/>
    <xf numFmtId="0" fontId="27" fillId="0" borderId="0"/>
    <xf numFmtId="0" fontId="48"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10" fillId="0" borderId="0"/>
    <xf numFmtId="0" fontId="10" fillId="0" borderId="0"/>
    <xf numFmtId="0" fontId="3"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2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27" fillId="0" borderId="0"/>
    <xf numFmtId="0" fontId="27" fillId="0" borderId="0"/>
    <xf numFmtId="0" fontId="3" fillId="0" borderId="0"/>
    <xf numFmtId="0" fontId="3" fillId="0" borderId="0"/>
    <xf numFmtId="0" fontId="10" fillId="0" borderId="0"/>
    <xf numFmtId="0" fontId="3" fillId="0" borderId="0"/>
    <xf numFmtId="0" fontId="27" fillId="0" borderId="0"/>
    <xf numFmtId="0" fontId="3" fillId="0" borderId="0"/>
    <xf numFmtId="0" fontId="10" fillId="0" borderId="0"/>
    <xf numFmtId="0" fontId="10" fillId="0" borderId="0"/>
    <xf numFmtId="0" fontId="27" fillId="0" borderId="0"/>
    <xf numFmtId="0" fontId="27" fillId="0" borderId="0"/>
    <xf numFmtId="0" fontId="10" fillId="0" borderId="0"/>
    <xf numFmtId="0" fontId="3" fillId="0" borderId="0"/>
    <xf numFmtId="0" fontId="3" fillId="0" borderId="0"/>
    <xf numFmtId="0" fontId="3" fillId="0" borderId="0"/>
    <xf numFmtId="0" fontId="3" fillId="0" borderId="0"/>
    <xf numFmtId="0" fontId="3" fillId="0" borderId="0"/>
    <xf numFmtId="0" fontId="27" fillId="0" borderId="0"/>
    <xf numFmtId="0" fontId="3" fillId="0" borderId="0"/>
    <xf numFmtId="0" fontId="3" fillId="0" borderId="0"/>
    <xf numFmtId="0" fontId="27" fillId="0" borderId="0"/>
    <xf numFmtId="0" fontId="27" fillId="0" borderId="0"/>
    <xf numFmtId="0" fontId="48" fillId="0" borderId="0"/>
    <xf numFmtId="0" fontId="27" fillId="0" borderId="0"/>
    <xf numFmtId="0" fontId="48" fillId="0" borderId="0"/>
    <xf numFmtId="0" fontId="48" fillId="0" borderId="0"/>
    <xf numFmtId="0" fontId="48" fillId="0" borderId="0"/>
    <xf numFmtId="0" fontId="48" fillId="0" borderId="0"/>
    <xf numFmtId="0" fontId="27" fillId="0" borderId="0"/>
    <xf numFmtId="0" fontId="3" fillId="0" borderId="0"/>
    <xf numFmtId="0" fontId="27" fillId="0" borderId="0"/>
    <xf numFmtId="0" fontId="4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8" fillId="0" borderId="0"/>
    <xf numFmtId="0" fontId="27" fillId="0" borderId="0"/>
    <xf numFmtId="0" fontId="14" fillId="0" borderId="0"/>
    <xf numFmtId="0" fontId="27" fillId="0" borderId="0"/>
    <xf numFmtId="0" fontId="27" fillId="0" borderId="0"/>
    <xf numFmtId="0" fontId="27" fillId="0" borderId="0"/>
    <xf numFmtId="0" fontId="10" fillId="8" borderId="5" applyNumberFormat="0" applyFont="0" applyAlignment="0" applyProtection="0"/>
    <xf numFmtId="0" fontId="10" fillId="8" borderId="5" applyNumberFormat="0" applyFont="0" applyAlignment="0" applyProtection="0"/>
    <xf numFmtId="0" fontId="10" fillId="8" borderId="5" applyNumberFormat="0" applyFont="0" applyAlignment="0" applyProtection="0"/>
    <xf numFmtId="0" fontId="10" fillId="8" borderId="5" applyNumberFormat="0" applyFont="0" applyAlignment="0" applyProtection="0"/>
    <xf numFmtId="0" fontId="27" fillId="58" borderId="25" applyNumberFormat="0" applyFont="0" applyAlignment="0" applyProtection="0"/>
    <xf numFmtId="0" fontId="10" fillId="8" borderId="5" applyNumberFormat="0" applyFont="0" applyAlignment="0" applyProtection="0"/>
    <xf numFmtId="0" fontId="10" fillId="8" borderId="5" applyNumberFormat="0" applyFont="0" applyAlignment="0" applyProtection="0"/>
    <xf numFmtId="0" fontId="10" fillId="8" borderId="5" applyNumberFormat="0" applyFont="0" applyAlignment="0" applyProtection="0"/>
    <xf numFmtId="0" fontId="10" fillId="8" borderId="5" applyNumberFormat="0" applyFont="0" applyAlignment="0" applyProtection="0"/>
    <xf numFmtId="0" fontId="10" fillId="8" borderId="5" applyNumberFormat="0" applyFont="0" applyAlignment="0" applyProtection="0"/>
    <xf numFmtId="0" fontId="10" fillId="8" borderId="5" applyNumberFormat="0" applyFont="0" applyAlignment="0" applyProtection="0"/>
    <xf numFmtId="0" fontId="10" fillId="8" borderId="5" applyNumberFormat="0" applyFont="0" applyAlignment="0" applyProtection="0"/>
    <xf numFmtId="0" fontId="10" fillId="8" borderId="5" applyNumberFormat="0" applyFont="0" applyAlignment="0" applyProtection="0"/>
    <xf numFmtId="0" fontId="10" fillId="8" borderId="5" applyNumberFormat="0" applyFont="0" applyAlignment="0" applyProtection="0"/>
    <xf numFmtId="49" fontId="11" fillId="67" borderId="26">
      <alignment horizontal="center" vertical="center"/>
    </xf>
    <xf numFmtId="0" fontId="11" fillId="67" borderId="17">
      <alignment horizontal="center" vertical="center"/>
    </xf>
    <xf numFmtId="0" fontId="11" fillId="67" borderId="16">
      <alignment horizontal="right" vertical="center"/>
    </xf>
    <xf numFmtId="0" fontId="11" fillId="67" borderId="17">
      <alignment horizontal="right" vertical="center"/>
    </xf>
    <xf numFmtId="0" fontId="49" fillId="6" borderId="2" applyNumberFormat="0" applyAlignment="0" applyProtection="0"/>
    <xf numFmtId="0" fontId="50" fillId="47" borderId="27" applyNumberFormat="0" applyAlignment="0" applyProtection="0"/>
    <xf numFmtId="0" fontId="49" fillId="6" borderId="2" applyNumberFormat="0" applyAlignment="0" applyProtection="0"/>
    <xf numFmtId="0" fontId="49" fillId="6" borderId="2" applyNumberFormat="0" applyAlignment="0" applyProtection="0"/>
    <xf numFmtId="0" fontId="50" fillId="38" borderId="27" applyNumberFormat="0" applyAlignment="0" applyProtection="0"/>
    <xf numFmtId="0" fontId="50" fillId="38" borderId="27"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10" fillId="0" borderId="0" applyFont="0" applyFill="0" applyBorder="0" applyAlignment="0" applyProtection="0"/>
    <xf numFmtId="0" fontId="51" fillId="68" borderId="0">
      <alignment horizontal="center" wrapText="1"/>
    </xf>
    <xf numFmtId="0" fontId="52" fillId="0" borderId="0" applyNumberFormat="0" applyFill="0" applyBorder="0" applyAlignment="0" applyProtection="0"/>
    <xf numFmtId="0" fontId="53" fillId="0" borderId="0" applyNumberFormat="0" applyBorder="0">
      <alignment horizontal="left" wrapText="1"/>
    </xf>
    <xf numFmtId="0" fontId="54" fillId="69" borderId="16" applyProtection="0">
      <alignment horizontal="center" vertical="center"/>
    </xf>
    <xf numFmtId="0" fontId="55" fillId="0" borderId="0" applyNumberFormat="0" applyFill="0" applyBorder="0" applyAlignment="0" applyProtection="0"/>
    <xf numFmtId="0" fontId="13" fillId="0" borderId="6" applyNumberFormat="0" applyFill="0" applyAlignment="0" applyProtection="0"/>
    <xf numFmtId="0" fontId="28" fillId="0" borderId="28"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28" fillId="0" borderId="29" applyNumberFormat="0" applyFill="0" applyAlignment="0" applyProtection="0"/>
    <xf numFmtId="0" fontId="28" fillId="0" borderId="29"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9" fillId="0" borderId="0" applyNumberFormat="0" applyFill="0" applyBorder="0" applyAlignment="0" applyProtection="0"/>
    <xf numFmtId="0" fontId="64" fillId="0" borderId="0"/>
    <xf numFmtId="0" fontId="2" fillId="0" borderId="0"/>
    <xf numFmtId="0" fontId="1" fillId="0" borderId="0"/>
    <xf numFmtId="43" fontId="1" fillId="0" borderId="0" applyFont="0" applyFill="0" applyBorder="0" applyAlignment="0" applyProtection="0"/>
  </cellStyleXfs>
  <cellXfs count="241">
    <xf numFmtId="0" fontId="0" fillId="0" borderId="0" xfId="0"/>
    <xf numFmtId="0" fontId="60" fillId="0" borderId="0" xfId="0" applyFont="1" applyAlignment="1">
      <alignment horizontal="left" vertical="top"/>
    </xf>
    <xf numFmtId="0" fontId="5" fillId="0" borderId="0" xfId="0" applyFont="1" applyAlignment="1">
      <alignment horizontal="left" vertical="top"/>
    </xf>
    <xf numFmtId="9" fontId="5" fillId="72" borderId="8" xfId="0" applyNumberFormat="1" applyFont="1" applyFill="1" applyBorder="1" applyAlignment="1">
      <alignment horizontal="left" vertical="top" wrapText="1"/>
    </xf>
    <xf numFmtId="9" fontId="5" fillId="73" borderId="8" xfId="0" applyNumberFormat="1" applyFont="1" applyFill="1" applyBorder="1" applyAlignment="1">
      <alignment horizontal="left" vertical="top" wrapText="1"/>
    </xf>
    <xf numFmtId="0" fontId="0" fillId="0" borderId="0" xfId="0" applyAlignment="1">
      <alignment horizontal="left" vertical="top"/>
    </xf>
    <xf numFmtId="0" fontId="5" fillId="33" borderId="8" xfId="0" applyFont="1" applyFill="1" applyBorder="1" applyAlignment="1">
      <alignment horizontal="right" vertical="top" wrapText="1"/>
    </xf>
    <xf numFmtId="0" fontId="5" fillId="72" borderId="7" xfId="0" applyFont="1" applyFill="1" applyBorder="1" applyAlignment="1">
      <alignment horizontal="right" vertical="top" wrapText="1"/>
    </xf>
    <xf numFmtId="0" fontId="5" fillId="72" borderId="8" xfId="0" applyFont="1" applyFill="1" applyBorder="1" applyAlignment="1">
      <alignment horizontal="right" vertical="top" wrapText="1"/>
    </xf>
    <xf numFmtId="0" fontId="5" fillId="33" borderId="7" xfId="0" applyFont="1" applyFill="1" applyBorder="1" applyAlignment="1">
      <alignment horizontal="right" vertical="top" wrapText="1"/>
    </xf>
    <xf numFmtId="0" fontId="5" fillId="33" borderId="9" xfId="0" applyFont="1" applyFill="1" applyBorder="1" applyAlignment="1">
      <alignment horizontal="right" vertical="top" wrapText="1"/>
    </xf>
    <xf numFmtId="0" fontId="5" fillId="72" borderId="9" xfId="0" applyFont="1" applyFill="1" applyBorder="1" applyAlignment="1">
      <alignment horizontal="right" vertical="top" wrapText="1"/>
    </xf>
    <xf numFmtId="0" fontId="5" fillId="33" borderId="0" xfId="0" applyFont="1" applyFill="1" applyAlignment="1">
      <alignment horizontal="right" vertical="top" wrapText="1"/>
    </xf>
    <xf numFmtId="0" fontId="66" fillId="33" borderId="0" xfId="0" applyFont="1" applyFill="1" applyAlignment="1">
      <alignment horizontal="left" vertical="top" wrapText="1"/>
    </xf>
    <xf numFmtId="0" fontId="66" fillId="33" borderId="7" xfId="0" applyFont="1" applyFill="1" applyBorder="1" applyAlignment="1">
      <alignment horizontal="left" vertical="top" wrapText="1"/>
    </xf>
    <xf numFmtId="3" fontId="5" fillId="72" borderId="8" xfId="0" applyNumberFormat="1" applyFont="1" applyFill="1" applyBorder="1" applyAlignment="1">
      <alignment horizontal="right" vertical="top" wrapText="1"/>
    </xf>
    <xf numFmtId="3" fontId="5" fillId="72" borderId="9" xfId="0" applyNumberFormat="1" applyFont="1" applyFill="1" applyBorder="1" applyAlignment="1">
      <alignment horizontal="right" vertical="top" wrapText="1"/>
    </xf>
    <xf numFmtId="0" fontId="5" fillId="72" borderId="0" xfId="0" applyFont="1" applyFill="1" applyAlignment="1">
      <alignment horizontal="right" vertical="top" wrapText="1"/>
    </xf>
    <xf numFmtId="0" fontId="68" fillId="70" borderId="8" xfId="0" applyFont="1" applyFill="1" applyBorder="1" applyAlignment="1">
      <alignment horizontal="left" vertical="top" wrapText="1"/>
    </xf>
    <xf numFmtId="0" fontId="68" fillId="70" borderId="7" xfId="0" applyFont="1" applyFill="1" applyBorder="1" applyAlignment="1">
      <alignment horizontal="left" vertical="top" wrapText="1"/>
    </xf>
    <xf numFmtId="4" fontId="5" fillId="72" borderId="8" xfId="0" applyNumberFormat="1" applyFont="1" applyFill="1" applyBorder="1" applyAlignment="1">
      <alignment horizontal="right" vertical="top" wrapText="1"/>
    </xf>
    <xf numFmtId="167" fontId="5" fillId="72" borderId="8" xfId="0" applyNumberFormat="1" applyFont="1" applyFill="1" applyBorder="1" applyAlignment="1">
      <alignment horizontal="right" vertical="top" wrapText="1"/>
    </xf>
    <xf numFmtId="3" fontId="5" fillId="73" borderId="8" xfId="0" applyNumberFormat="1" applyFont="1" applyFill="1" applyBorder="1" applyAlignment="1">
      <alignment horizontal="right" vertical="top" wrapText="1"/>
    </xf>
    <xf numFmtId="4" fontId="5" fillId="73" borderId="8" xfId="0" applyNumberFormat="1" applyFont="1" applyFill="1" applyBorder="1" applyAlignment="1">
      <alignment horizontal="right" vertical="top" wrapText="1"/>
    </xf>
    <xf numFmtId="167" fontId="5" fillId="73" borderId="8" xfId="0" applyNumberFormat="1" applyFont="1" applyFill="1" applyBorder="1" applyAlignment="1">
      <alignment horizontal="right" vertical="top" wrapText="1"/>
    </xf>
    <xf numFmtId="3" fontId="7" fillId="73" borderId="8" xfId="0" applyNumberFormat="1" applyFont="1" applyFill="1" applyBorder="1" applyAlignment="1">
      <alignment horizontal="right" vertical="top" wrapText="1"/>
    </xf>
    <xf numFmtId="0" fontId="5" fillId="72" borderId="0" xfId="0" applyFont="1" applyFill="1" applyAlignment="1">
      <alignment horizontal="left" vertical="top" wrapText="1"/>
    </xf>
    <xf numFmtId="0" fontId="5" fillId="72" borderId="7" xfId="0" applyFont="1" applyFill="1" applyBorder="1" applyAlignment="1">
      <alignment horizontal="left" vertical="top" wrapText="1"/>
    </xf>
    <xf numFmtId="0" fontId="5" fillId="73" borderId="0" xfId="0" applyFont="1" applyFill="1" applyAlignment="1">
      <alignment horizontal="left" vertical="top" wrapText="1"/>
    </xf>
    <xf numFmtId="0" fontId="5" fillId="73" borderId="7" xfId="0" applyFont="1" applyFill="1" applyBorder="1" applyAlignment="1">
      <alignment horizontal="left" vertical="top" wrapText="1"/>
    </xf>
    <xf numFmtId="0" fontId="8" fillId="71" borderId="32" xfId="0" applyFont="1" applyFill="1" applyBorder="1" applyAlignment="1">
      <alignment horizontal="left" vertical="top" wrapText="1"/>
    </xf>
    <xf numFmtId="0" fontId="8" fillId="71" borderId="9" xfId="0" applyFont="1" applyFill="1" applyBorder="1" applyAlignment="1">
      <alignment horizontal="left" vertical="top" wrapText="1"/>
    </xf>
    <xf numFmtId="0" fontId="8" fillId="71" borderId="8" xfId="0" applyFont="1" applyFill="1" applyBorder="1" applyAlignment="1">
      <alignment horizontal="left" vertical="top" wrapText="1"/>
    </xf>
    <xf numFmtId="0" fontId="6" fillId="70" borderId="9" xfId="0" applyFont="1" applyFill="1" applyBorder="1" applyAlignment="1">
      <alignment horizontal="left" vertical="top" wrapText="1"/>
    </xf>
    <xf numFmtId="0" fontId="6" fillId="70" borderId="8" xfId="0" applyFont="1" applyFill="1" applyBorder="1" applyAlignment="1">
      <alignment horizontal="left" vertical="top" wrapText="1"/>
    </xf>
    <xf numFmtId="0" fontId="6" fillId="70" borderId="7" xfId="0" applyFont="1" applyFill="1" applyBorder="1" applyAlignment="1">
      <alignment horizontal="left" vertical="top" wrapText="1"/>
    </xf>
    <xf numFmtId="3" fontId="0" fillId="0" borderId="0" xfId="0" applyNumberFormat="1" applyBorder="1" applyAlignment="1">
      <alignment horizontal="left" vertical="top"/>
    </xf>
    <xf numFmtId="0" fontId="0" fillId="0" borderId="0" xfId="0" applyBorder="1" applyAlignment="1">
      <alignment horizontal="left" vertical="top"/>
    </xf>
    <xf numFmtId="0" fontId="5" fillId="73" borderId="8" xfId="0" applyFont="1" applyFill="1" applyBorder="1" applyAlignment="1">
      <alignment horizontal="left" vertical="top" wrapText="1"/>
    </xf>
    <xf numFmtId="0" fontId="5" fillId="73" borderId="30" xfId="0" applyFont="1" applyFill="1" applyBorder="1" applyAlignment="1">
      <alignment horizontal="left" vertical="top" wrapText="1"/>
    </xf>
    <xf numFmtId="0" fontId="5" fillId="73" borderId="31" xfId="0" applyFont="1" applyFill="1" applyBorder="1" applyAlignment="1">
      <alignment horizontal="left" vertical="top" wrapText="1"/>
    </xf>
    <xf numFmtId="0" fontId="10" fillId="0" borderId="0" xfId="0" applyFont="1" applyAlignment="1">
      <alignment horizontal="left" vertical="top"/>
    </xf>
    <xf numFmtId="0" fontId="4" fillId="34" borderId="0" xfId="0" applyFont="1" applyFill="1" applyAlignment="1">
      <alignment horizontal="left" vertical="top"/>
    </xf>
    <xf numFmtId="0" fontId="10" fillId="34" borderId="0" xfId="0" applyFont="1" applyFill="1" applyAlignment="1">
      <alignment horizontal="left" vertical="top"/>
    </xf>
    <xf numFmtId="0" fontId="10" fillId="34" borderId="0" xfId="0" applyFont="1" applyFill="1" applyAlignment="1">
      <alignment horizontal="left" vertical="top" wrapText="1"/>
    </xf>
    <xf numFmtId="0" fontId="56" fillId="0" borderId="0" xfId="0" applyFont="1" applyAlignment="1">
      <alignment horizontal="left" vertical="top"/>
    </xf>
    <xf numFmtId="166" fontId="5" fillId="73" borderId="8" xfId="0" applyNumberFormat="1" applyFont="1" applyFill="1" applyBorder="1" applyAlignment="1">
      <alignment horizontal="right" vertical="top" wrapText="1"/>
    </xf>
    <xf numFmtId="0" fontId="75" fillId="70" borderId="8" xfId="0" applyFont="1" applyFill="1" applyBorder="1" applyAlignment="1">
      <alignment horizontal="left" vertical="top" wrapText="1"/>
    </xf>
    <xf numFmtId="0" fontId="77" fillId="71" borderId="8" xfId="0" applyFont="1" applyFill="1" applyBorder="1" applyAlignment="1">
      <alignment horizontal="left" vertical="top" wrapText="1"/>
    </xf>
    <xf numFmtId="3" fontId="11" fillId="72" borderId="8" xfId="0" applyNumberFormat="1" applyFont="1" applyFill="1" applyBorder="1" applyAlignment="1">
      <alignment horizontal="right" vertical="top" wrapText="1"/>
    </xf>
    <xf numFmtId="0" fontId="11" fillId="72" borderId="8" xfId="0" applyFont="1" applyFill="1" applyBorder="1" applyAlignment="1">
      <alignment horizontal="right" vertical="top" wrapText="1"/>
    </xf>
    <xf numFmtId="0" fontId="11" fillId="72" borderId="7" xfId="0" applyFont="1" applyFill="1" applyBorder="1" applyAlignment="1">
      <alignment horizontal="right" vertical="top" wrapText="1"/>
    </xf>
    <xf numFmtId="3" fontId="11" fillId="73" borderId="8" xfId="0" applyNumberFormat="1" applyFont="1" applyFill="1" applyBorder="1" applyAlignment="1">
      <alignment horizontal="right" vertical="top" wrapText="1"/>
    </xf>
    <xf numFmtId="0" fontId="78" fillId="73" borderId="8" xfId="0" applyFont="1" applyFill="1" applyBorder="1" applyAlignment="1">
      <alignment horizontal="right" vertical="top" wrapText="1"/>
    </xf>
    <xf numFmtId="0" fontId="78" fillId="73" borderId="7" xfId="0" applyFont="1" applyFill="1" applyBorder="1" applyAlignment="1">
      <alignment horizontal="right" vertical="top" wrapText="1"/>
    </xf>
    <xf numFmtId="0" fontId="78" fillId="72" borderId="8" xfId="0" applyFont="1" applyFill="1" applyBorder="1" applyAlignment="1">
      <alignment horizontal="right" vertical="top" wrapText="1"/>
    </xf>
    <xf numFmtId="0" fontId="78" fillId="72" borderId="7" xfId="0" applyFont="1" applyFill="1" applyBorder="1" applyAlignment="1">
      <alignment horizontal="right" vertical="top" wrapText="1"/>
    </xf>
    <xf numFmtId="3" fontId="78" fillId="73" borderId="8" xfId="0" applyNumberFormat="1" applyFont="1" applyFill="1" applyBorder="1" applyAlignment="1">
      <alignment horizontal="right" vertical="top" wrapText="1"/>
    </xf>
    <xf numFmtId="0" fontId="11" fillId="73" borderId="8" xfId="0" applyFont="1" applyFill="1" applyBorder="1" applyAlignment="1">
      <alignment horizontal="right" vertical="top" wrapText="1"/>
    </xf>
    <xf numFmtId="0" fontId="78" fillId="75" borderId="8" xfId="0" applyFont="1" applyFill="1" applyBorder="1" applyAlignment="1">
      <alignment horizontal="right" vertical="top" wrapText="1"/>
    </xf>
    <xf numFmtId="0" fontId="78" fillId="75" borderId="7" xfId="0" applyFont="1" applyFill="1" applyBorder="1" applyAlignment="1">
      <alignment horizontal="right" vertical="top" wrapText="1"/>
    </xf>
    <xf numFmtId="0" fontId="11" fillId="73" borderId="7" xfId="0" applyFont="1" applyFill="1" applyBorder="1" applyAlignment="1">
      <alignment horizontal="right" vertical="top" wrapText="1"/>
    </xf>
    <xf numFmtId="0" fontId="77" fillId="71" borderId="9" xfId="0" applyFont="1" applyFill="1" applyBorder="1" applyAlignment="1">
      <alignment horizontal="left" vertical="top" wrapText="1"/>
    </xf>
    <xf numFmtId="3" fontId="11" fillId="72" borderId="9" xfId="0" applyNumberFormat="1" applyFont="1" applyFill="1" applyBorder="1" applyAlignment="1">
      <alignment horizontal="right" vertical="top" wrapText="1"/>
    </xf>
    <xf numFmtId="0" fontId="11" fillId="72" borderId="9" xfId="0" applyFont="1" applyFill="1" applyBorder="1" applyAlignment="1">
      <alignment horizontal="right" vertical="top" wrapText="1"/>
    </xf>
    <xf numFmtId="0" fontId="11" fillId="72" borderId="0" xfId="0" applyFont="1" applyFill="1" applyAlignment="1">
      <alignment horizontal="right" vertical="top" wrapText="1"/>
    </xf>
    <xf numFmtId="0" fontId="11" fillId="0" borderId="0" xfId="0" applyFont="1" applyAlignment="1">
      <alignment horizontal="left" vertical="top"/>
    </xf>
    <xf numFmtId="0" fontId="6" fillId="70" borderId="8" xfId="0" applyFont="1" applyFill="1" applyBorder="1" applyAlignment="1">
      <alignment horizontal="left" vertical="top"/>
    </xf>
    <xf numFmtId="0" fontId="8" fillId="71" borderId="8" xfId="0" applyFont="1" applyFill="1" applyBorder="1" applyAlignment="1">
      <alignment horizontal="left" vertical="top"/>
    </xf>
    <xf numFmtId="0" fontId="61" fillId="73" borderId="8" xfId="0" applyFont="1" applyFill="1" applyBorder="1" applyAlignment="1">
      <alignment horizontal="right" vertical="top"/>
    </xf>
    <xf numFmtId="0" fontId="61" fillId="73" borderId="8" xfId="0" applyFont="1" applyFill="1" applyBorder="1" applyAlignment="1">
      <alignment horizontal="right" vertical="top" wrapText="1"/>
    </xf>
    <xf numFmtId="0" fontId="61" fillId="73" borderId="7" xfId="0" applyFont="1" applyFill="1" applyBorder="1" applyAlignment="1">
      <alignment horizontal="right" vertical="top" wrapText="1"/>
    </xf>
    <xf numFmtId="0" fontId="61" fillId="72" borderId="8" xfId="0" applyFont="1" applyFill="1" applyBorder="1" applyAlignment="1">
      <alignment horizontal="right" vertical="top"/>
    </xf>
    <xf numFmtId="0" fontId="61" fillId="72" borderId="8" xfId="0" applyFont="1" applyFill="1" applyBorder="1" applyAlignment="1">
      <alignment horizontal="right" vertical="top" wrapText="1"/>
    </xf>
    <xf numFmtId="0" fontId="61" fillId="72" borderId="7" xfId="0" applyFont="1" applyFill="1" applyBorder="1" applyAlignment="1">
      <alignment horizontal="right" vertical="top" wrapText="1"/>
    </xf>
    <xf numFmtId="0" fontId="61" fillId="75" borderId="8" xfId="0" applyFont="1" applyFill="1" applyBorder="1" applyAlignment="1">
      <alignment horizontal="right" vertical="top"/>
    </xf>
    <xf numFmtId="0" fontId="61" fillId="75" borderId="8" xfId="0" applyFont="1" applyFill="1" applyBorder="1" applyAlignment="1">
      <alignment horizontal="right" vertical="top" wrapText="1"/>
    </xf>
    <xf numFmtId="0" fontId="61" fillId="75" borderId="7" xfId="0" applyFont="1" applyFill="1" applyBorder="1" applyAlignment="1">
      <alignment horizontal="right" vertical="top" wrapText="1"/>
    </xf>
    <xf numFmtId="0" fontId="8" fillId="71" borderId="9" xfId="0" applyFont="1" applyFill="1" applyBorder="1" applyAlignment="1">
      <alignment horizontal="left" vertical="top"/>
    </xf>
    <xf numFmtId="0" fontId="61" fillId="73" borderId="9" xfId="0" applyFont="1" applyFill="1" applyBorder="1" applyAlignment="1">
      <alignment horizontal="right" vertical="top"/>
    </xf>
    <xf numFmtId="0" fontId="61" fillId="73" borderId="9" xfId="0" applyFont="1" applyFill="1" applyBorder="1" applyAlignment="1">
      <alignment horizontal="right" vertical="top" wrapText="1"/>
    </xf>
    <xf numFmtId="0" fontId="61" fillId="73" borderId="0" xfId="0" applyFont="1" applyFill="1" applyAlignment="1">
      <alignment horizontal="right" vertical="top" wrapText="1"/>
    </xf>
    <xf numFmtId="0" fontId="5" fillId="73" borderId="8" xfId="0" applyFont="1" applyFill="1" applyBorder="1" applyAlignment="1">
      <alignment horizontal="right" vertical="top" wrapText="1"/>
    </xf>
    <xf numFmtId="0" fontId="5" fillId="73" borderId="7" xfId="0" applyFont="1" applyFill="1" applyBorder="1" applyAlignment="1">
      <alignment horizontal="right" vertical="top" wrapText="1"/>
    </xf>
    <xf numFmtId="3" fontId="61" fillId="72" borderId="8" xfId="0" applyNumberFormat="1" applyFont="1" applyFill="1" applyBorder="1" applyAlignment="1">
      <alignment horizontal="right" vertical="top" wrapText="1"/>
    </xf>
    <xf numFmtId="0" fontId="61" fillId="72" borderId="9" xfId="0" applyFont="1" applyFill="1" applyBorder="1" applyAlignment="1">
      <alignment horizontal="right" vertical="top" wrapText="1"/>
    </xf>
    <xf numFmtId="0" fontId="61" fillId="72" borderId="0" xfId="0" applyFont="1" applyFill="1" applyAlignment="1">
      <alignment horizontal="right" vertical="top" wrapText="1"/>
    </xf>
    <xf numFmtId="0" fontId="61" fillId="73" borderId="8" xfId="0" applyFont="1" applyFill="1" applyBorder="1" applyAlignment="1">
      <alignment horizontal="left" vertical="top" wrapText="1"/>
    </xf>
    <xf numFmtId="0" fontId="61" fillId="72" borderId="8" xfId="0" applyFont="1" applyFill="1" applyBorder="1" applyAlignment="1">
      <alignment horizontal="left" vertical="top" wrapText="1"/>
    </xf>
    <xf numFmtId="0" fontId="61" fillId="72" borderId="9" xfId="0" applyFont="1" applyFill="1" applyBorder="1" applyAlignment="1">
      <alignment horizontal="left" vertical="top" wrapText="1"/>
    </xf>
    <xf numFmtId="0" fontId="61" fillId="75" borderId="9" xfId="0" applyFont="1" applyFill="1" applyBorder="1" applyAlignment="1">
      <alignment horizontal="right" vertical="top" wrapText="1"/>
    </xf>
    <xf numFmtId="0" fontId="61" fillId="75" borderId="0" xfId="0" applyFont="1" applyFill="1" applyAlignment="1">
      <alignment horizontal="right" vertical="top" wrapText="1"/>
    </xf>
    <xf numFmtId="0" fontId="5" fillId="33" borderId="8" xfId="0" applyFont="1" applyFill="1" applyBorder="1" applyAlignment="1">
      <alignment horizontal="left" vertical="top" wrapText="1"/>
    </xf>
    <xf numFmtId="0" fontId="5" fillId="72" borderId="8" xfId="0" applyFont="1" applyFill="1" applyBorder="1" applyAlignment="1">
      <alignment horizontal="left" vertical="top" wrapText="1"/>
    </xf>
    <xf numFmtId="0" fontId="5" fillId="33" borderId="9" xfId="0" applyFont="1" applyFill="1" applyBorder="1" applyAlignment="1">
      <alignment horizontal="left" vertical="top" wrapText="1"/>
    </xf>
    <xf numFmtId="0" fontId="5" fillId="72" borderId="9" xfId="0" applyFont="1" applyFill="1" applyBorder="1" applyAlignment="1">
      <alignment horizontal="left" vertical="top" wrapText="1"/>
    </xf>
    <xf numFmtId="0" fontId="61" fillId="72" borderId="7" xfId="0" applyFont="1" applyFill="1" applyBorder="1" applyAlignment="1">
      <alignment horizontal="left" vertical="top" wrapText="1"/>
    </xf>
    <xf numFmtId="0" fontId="61" fillId="73" borderId="0" xfId="0" applyFont="1" applyFill="1" applyAlignment="1">
      <alignment horizontal="left" vertical="top" wrapText="1"/>
    </xf>
    <xf numFmtId="0" fontId="6" fillId="70" borderId="30" xfId="0" applyFont="1" applyFill="1" applyBorder="1" applyAlignment="1">
      <alignment horizontal="left" vertical="top" wrapText="1"/>
    </xf>
    <xf numFmtId="0" fontId="6" fillId="70" borderId="31" xfId="0" applyFont="1" applyFill="1" applyBorder="1" applyAlignment="1">
      <alignment horizontal="left" vertical="top" wrapText="1"/>
    </xf>
    <xf numFmtId="3" fontId="5" fillId="33" borderId="8" xfId="0" applyNumberFormat="1" applyFont="1" applyFill="1" applyBorder="1" applyAlignment="1">
      <alignment horizontal="right" vertical="top" wrapText="1"/>
    </xf>
    <xf numFmtId="0" fontId="58" fillId="0" borderId="0" xfId="1" applyAlignment="1">
      <alignment horizontal="left" vertical="top"/>
    </xf>
    <xf numFmtId="0" fontId="62" fillId="0" borderId="0" xfId="1" applyFont="1" applyAlignment="1">
      <alignment horizontal="left" vertical="top"/>
    </xf>
    <xf numFmtId="0" fontId="69" fillId="0" borderId="0" xfId="0" applyFont="1" applyAlignment="1">
      <alignment horizontal="left" vertical="top"/>
    </xf>
    <xf numFmtId="0" fontId="0" fillId="74" borderId="0" xfId="0" applyFill="1" applyAlignment="1">
      <alignment horizontal="left" vertical="top"/>
    </xf>
    <xf numFmtId="1" fontId="0" fillId="0" borderId="0" xfId="0" applyNumberFormat="1" applyAlignment="1">
      <alignment horizontal="left" vertical="top"/>
    </xf>
    <xf numFmtId="0" fontId="69" fillId="0" borderId="0" xfId="0" applyFont="1" applyFill="1" applyAlignment="1">
      <alignment horizontal="left" vertical="top"/>
    </xf>
    <xf numFmtId="0" fontId="4" fillId="0" borderId="0" xfId="0" applyFont="1" applyAlignment="1">
      <alignment horizontal="left" vertical="top"/>
    </xf>
    <xf numFmtId="0" fontId="0" fillId="0" borderId="0" xfId="0" applyFill="1" applyAlignment="1">
      <alignment horizontal="left" vertical="top"/>
    </xf>
    <xf numFmtId="0" fontId="5" fillId="76" borderId="0" xfId="0" applyFont="1" applyFill="1" applyAlignment="1">
      <alignment horizontal="left" vertical="top"/>
    </xf>
    <xf numFmtId="0" fontId="5" fillId="74" borderId="0" xfId="0" applyFont="1" applyFill="1" applyAlignment="1">
      <alignment horizontal="left" vertical="top" wrapText="1"/>
    </xf>
    <xf numFmtId="0" fontId="5" fillId="0" borderId="0" xfId="0" applyFont="1" applyAlignment="1">
      <alignment horizontal="left" vertical="top" wrapText="1"/>
    </xf>
    <xf numFmtId="0" fontId="5" fillId="74" borderId="0" xfId="0" applyFont="1" applyFill="1" applyAlignment="1">
      <alignment horizontal="left" vertical="top"/>
    </xf>
    <xf numFmtId="0" fontId="60" fillId="0" borderId="0" xfId="370" applyFont="1" applyAlignment="1">
      <alignment horizontal="left" vertical="top"/>
    </xf>
    <xf numFmtId="0" fontId="6" fillId="70" borderId="8" xfId="370" applyFont="1" applyFill="1" applyBorder="1" applyAlignment="1">
      <alignment horizontal="left" vertical="top" wrapText="1"/>
    </xf>
    <xf numFmtId="0" fontId="6" fillId="70" borderId="7" xfId="370" applyFont="1" applyFill="1" applyBorder="1" applyAlignment="1">
      <alignment horizontal="left" vertical="top" wrapText="1"/>
    </xf>
    <xf numFmtId="0" fontId="8" fillId="71" borderId="8" xfId="370" applyFont="1" applyFill="1" applyBorder="1" applyAlignment="1">
      <alignment horizontal="left" vertical="top" wrapText="1"/>
    </xf>
    <xf numFmtId="3" fontId="5" fillId="0" borderId="0" xfId="0" applyNumberFormat="1" applyFont="1" applyAlignment="1">
      <alignment horizontal="left" vertical="top"/>
    </xf>
    <xf numFmtId="0" fontId="65" fillId="0" borderId="0" xfId="480" applyFont="1" applyAlignment="1">
      <alignment horizontal="left" vertical="top"/>
    </xf>
    <xf numFmtId="0" fontId="65" fillId="0" borderId="0" xfId="480" applyFont="1" applyFill="1" applyAlignment="1">
      <alignment horizontal="left" vertical="top"/>
    </xf>
    <xf numFmtId="0" fontId="65" fillId="74" borderId="0" xfId="480" applyFont="1" applyFill="1" applyAlignment="1">
      <alignment horizontal="left" vertical="top"/>
    </xf>
    <xf numFmtId="0" fontId="78" fillId="0" borderId="0" xfId="480" applyFont="1" applyAlignment="1">
      <alignment horizontal="left" vertical="top"/>
    </xf>
    <xf numFmtId="9" fontId="65" fillId="0" borderId="0" xfId="480" applyNumberFormat="1" applyFont="1" applyFill="1" applyAlignment="1">
      <alignment horizontal="left" vertical="top"/>
    </xf>
    <xf numFmtId="3" fontId="65" fillId="0" borderId="0" xfId="480" applyNumberFormat="1" applyFont="1" applyAlignment="1">
      <alignment horizontal="left" vertical="top"/>
    </xf>
    <xf numFmtId="9" fontId="65" fillId="0" borderId="0" xfId="480" applyNumberFormat="1" applyFont="1" applyAlignment="1">
      <alignment horizontal="left" vertical="top"/>
    </xf>
    <xf numFmtId="165" fontId="65" fillId="0" borderId="0" xfId="480" applyNumberFormat="1" applyFont="1" applyFill="1" applyAlignment="1">
      <alignment horizontal="left" vertical="top"/>
    </xf>
    <xf numFmtId="3" fontId="4" fillId="0" borderId="0" xfId="0" applyNumberFormat="1" applyFont="1" applyBorder="1" applyAlignment="1">
      <alignment horizontal="left" vertical="top"/>
    </xf>
    <xf numFmtId="0" fontId="61" fillId="73" borderId="9" xfId="0" applyFont="1" applyFill="1" applyBorder="1" applyAlignment="1">
      <alignment horizontal="left" vertical="top" wrapText="1"/>
    </xf>
    <xf numFmtId="0" fontId="7" fillId="70" borderId="8" xfId="0" applyFont="1" applyFill="1" applyBorder="1" applyAlignment="1">
      <alignment horizontal="left" vertical="top" wrapText="1"/>
    </xf>
    <xf numFmtId="0" fontId="7" fillId="70" borderId="7" xfId="0" applyFont="1" applyFill="1" applyBorder="1" applyAlignment="1">
      <alignment horizontal="left" vertical="top" wrapText="1"/>
    </xf>
    <xf numFmtId="3" fontId="11" fillId="0" borderId="0" xfId="0" applyNumberFormat="1" applyFont="1" applyBorder="1" applyAlignment="1">
      <alignment horizontal="left" vertical="top"/>
    </xf>
    <xf numFmtId="0" fontId="7" fillId="33" borderId="8" xfId="0" applyFont="1" applyFill="1" applyBorder="1" applyAlignment="1">
      <alignment horizontal="left" vertical="top" wrapText="1"/>
    </xf>
    <xf numFmtId="0" fontId="79" fillId="73" borderId="8" xfId="1" applyFont="1" applyFill="1" applyBorder="1" applyAlignment="1">
      <alignment horizontal="left" vertical="top" wrapText="1"/>
    </xf>
    <xf numFmtId="0" fontId="9" fillId="71" borderId="8" xfId="0" applyFont="1" applyFill="1" applyBorder="1" applyAlignment="1">
      <alignment horizontal="left" vertical="top" wrapText="1"/>
    </xf>
    <xf numFmtId="0" fontId="9" fillId="71" borderId="9" xfId="0" applyFont="1" applyFill="1" applyBorder="1" applyAlignment="1">
      <alignment horizontal="left" vertical="top" wrapText="1"/>
    </xf>
    <xf numFmtId="0" fontId="53" fillId="0" borderId="0" xfId="1" applyFont="1" applyAlignment="1">
      <alignment horizontal="left" vertical="top"/>
    </xf>
    <xf numFmtId="0" fontId="8" fillId="71" borderId="8" xfId="0" applyFont="1" applyFill="1" applyBorder="1" applyAlignment="1">
      <alignment horizontal="right" vertical="top" wrapText="1"/>
    </xf>
    <xf numFmtId="3" fontId="5" fillId="72" borderId="8" xfId="370" applyNumberFormat="1" applyFont="1" applyFill="1" applyBorder="1" applyAlignment="1">
      <alignment horizontal="right" vertical="top" wrapText="1"/>
    </xf>
    <xf numFmtId="3" fontId="5" fillId="73" borderId="8" xfId="370" applyNumberFormat="1" applyFont="1" applyFill="1" applyBorder="1" applyAlignment="1">
      <alignment horizontal="right" vertical="top" wrapText="1"/>
    </xf>
    <xf numFmtId="3" fontId="79" fillId="73" borderId="8" xfId="370" applyNumberFormat="1" applyFont="1" applyFill="1" applyBorder="1" applyAlignment="1">
      <alignment horizontal="right" vertical="top" wrapText="1"/>
    </xf>
    <xf numFmtId="0" fontId="5" fillId="73" borderId="9" xfId="0" applyFont="1" applyFill="1" applyBorder="1" applyAlignment="1">
      <alignment horizontal="right" vertical="top" wrapText="1"/>
    </xf>
    <xf numFmtId="3" fontId="5" fillId="73" borderId="0" xfId="0" applyNumberFormat="1" applyFont="1" applyFill="1" applyAlignment="1">
      <alignment horizontal="right" vertical="top" wrapText="1"/>
    </xf>
    <xf numFmtId="0" fontId="61" fillId="72" borderId="8" xfId="0" applyFont="1" applyFill="1" applyBorder="1" applyAlignment="1">
      <alignment horizontal="right" vertical="top" wrapText="1" indent="1"/>
    </xf>
    <xf numFmtId="0" fontId="61" fillId="73" borderId="9" xfId="0" applyFont="1" applyFill="1" applyBorder="1" applyAlignment="1">
      <alignment horizontal="right" vertical="top" wrapText="1" indent="1"/>
    </xf>
    <xf numFmtId="1" fontId="5" fillId="72" borderId="8" xfId="0" applyNumberFormat="1" applyFont="1" applyFill="1" applyBorder="1" applyAlignment="1">
      <alignment horizontal="right" vertical="top" wrapText="1"/>
    </xf>
    <xf numFmtId="1" fontId="5" fillId="33" borderId="8" xfId="0" applyNumberFormat="1" applyFont="1" applyFill="1" applyBorder="1" applyAlignment="1">
      <alignment horizontal="right" vertical="top" wrapText="1"/>
    </xf>
    <xf numFmtId="9" fontId="5" fillId="72" borderId="7" xfId="0" applyNumberFormat="1" applyFont="1" applyFill="1" applyBorder="1" applyAlignment="1">
      <alignment horizontal="right" vertical="top" wrapText="1"/>
    </xf>
    <xf numFmtId="1" fontId="5" fillId="72" borderId="9" xfId="0" applyNumberFormat="1" applyFont="1" applyFill="1" applyBorder="1" applyAlignment="1">
      <alignment horizontal="right" vertical="top" wrapText="1"/>
    </xf>
    <xf numFmtId="1" fontId="5" fillId="33" borderId="9" xfId="0" applyNumberFormat="1" applyFont="1" applyFill="1" applyBorder="1" applyAlignment="1">
      <alignment horizontal="right" vertical="top" wrapText="1"/>
    </xf>
    <xf numFmtId="9" fontId="5" fillId="72" borderId="0" xfId="0" applyNumberFormat="1" applyFont="1" applyFill="1" applyAlignment="1">
      <alignment horizontal="right" vertical="top" wrapText="1"/>
    </xf>
    <xf numFmtId="0" fontId="1" fillId="0" borderId="0" xfId="482"/>
    <xf numFmtId="168" fontId="0" fillId="0" borderId="0" xfId="483" applyNumberFormat="1" applyFont="1"/>
    <xf numFmtId="0" fontId="1" fillId="74" borderId="0" xfId="482" applyFill="1"/>
    <xf numFmtId="0" fontId="8" fillId="71" borderId="8" xfId="0" applyFont="1" applyFill="1" applyBorder="1" applyAlignment="1">
      <alignment horizontal="left" vertical="top" wrapText="1"/>
    </xf>
    <xf numFmtId="0" fontId="61" fillId="72" borderId="30" xfId="0" applyFont="1" applyFill="1" applyBorder="1" applyAlignment="1">
      <alignment horizontal="left" vertical="top" wrapText="1"/>
    </xf>
    <xf numFmtId="0" fontId="75" fillId="70" borderId="8" xfId="0" applyFont="1" applyFill="1" applyBorder="1" applyAlignment="1">
      <alignment horizontal="left" vertical="top" wrapText="1"/>
    </xf>
    <xf numFmtId="0" fontId="11" fillId="0" borderId="0" xfId="0" applyFont="1" applyAlignment="1">
      <alignment vertical="center"/>
    </xf>
    <xf numFmtId="0" fontId="53" fillId="0" borderId="0" xfId="1" applyFont="1"/>
    <xf numFmtId="0" fontId="53" fillId="0" borderId="0" xfId="0" applyFont="1" applyAlignment="1">
      <alignment horizontal="left" vertical="top"/>
    </xf>
    <xf numFmtId="0" fontId="53" fillId="0" borderId="0" xfId="1" applyFont="1" applyAlignment="1">
      <alignment vertical="center"/>
    </xf>
    <xf numFmtId="0" fontId="53" fillId="0" borderId="0" xfId="0" applyFont="1" applyAlignment="1">
      <alignment vertical="center"/>
    </xf>
    <xf numFmtId="0" fontId="53" fillId="0" borderId="0" xfId="0" applyFont="1"/>
    <xf numFmtId="0" fontId="80" fillId="73" borderId="8" xfId="0" applyFont="1" applyFill="1" applyBorder="1" applyAlignment="1">
      <alignment horizontal="left" vertical="top" wrapText="1"/>
    </xf>
    <xf numFmtId="0" fontId="80" fillId="73" borderId="7" xfId="0" applyFont="1" applyFill="1" applyBorder="1" applyAlignment="1">
      <alignment horizontal="left" vertical="top" wrapText="1"/>
    </xf>
    <xf numFmtId="0" fontId="80" fillId="72" borderId="8" xfId="0" applyFont="1" applyFill="1" applyBorder="1" applyAlignment="1">
      <alignment horizontal="left" vertical="top" wrapText="1"/>
    </xf>
    <xf numFmtId="0" fontId="80" fillId="72" borderId="7" xfId="0" applyFont="1" applyFill="1" applyBorder="1" applyAlignment="1">
      <alignment horizontal="left" vertical="top" wrapText="1"/>
    </xf>
    <xf numFmtId="0" fontId="61" fillId="73" borderId="7" xfId="0" applyFont="1" applyFill="1" applyBorder="1" applyAlignment="1">
      <alignment horizontal="left" vertical="top" wrapText="1"/>
    </xf>
    <xf numFmtId="0" fontId="6" fillId="70" borderId="7" xfId="0" applyFont="1" applyFill="1" applyBorder="1" applyAlignment="1">
      <alignment vertical="center" wrapText="1"/>
    </xf>
    <xf numFmtId="0" fontId="5" fillId="72" borderId="0" xfId="0" applyFont="1" applyFill="1" applyAlignment="1">
      <alignment vertical="top" wrapText="1"/>
    </xf>
    <xf numFmtId="0" fontId="5" fillId="72" borderId="7" xfId="0" applyFont="1" applyFill="1" applyBorder="1" applyAlignment="1">
      <alignment vertical="top" wrapText="1"/>
    </xf>
    <xf numFmtId="0" fontId="5" fillId="73" borderId="0" xfId="0" applyFont="1" applyFill="1" applyAlignment="1">
      <alignment vertical="top" wrapText="1"/>
    </xf>
    <xf numFmtId="0" fontId="5" fillId="73" borderId="7" xfId="0" applyFont="1" applyFill="1" applyBorder="1" applyAlignment="1">
      <alignment vertical="top" wrapText="1"/>
    </xf>
    <xf numFmtId="0" fontId="85" fillId="71" borderId="9" xfId="0" applyFont="1" applyFill="1" applyBorder="1" applyAlignment="1">
      <alignment horizontal="right" vertical="top" wrapText="1"/>
    </xf>
    <xf numFmtId="0" fontId="73" fillId="72" borderId="8" xfId="0" applyFont="1" applyFill="1" applyBorder="1" applyAlignment="1">
      <alignment horizontal="left" vertical="top" wrapText="1"/>
    </xf>
    <xf numFmtId="0" fontId="73" fillId="33" borderId="7" xfId="0" applyFont="1" applyFill="1" applyBorder="1" applyAlignment="1">
      <alignment horizontal="left" vertical="top" wrapText="1"/>
    </xf>
    <xf numFmtId="0" fontId="5" fillId="33" borderId="7" xfId="0" applyFont="1" applyFill="1" applyBorder="1" applyAlignment="1">
      <alignment horizontal="left" vertical="top" wrapText="1"/>
    </xf>
    <xf numFmtId="3" fontId="61" fillId="73" borderId="8" xfId="0" applyNumberFormat="1" applyFont="1" applyFill="1" applyBorder="1" applyAlignment="1">
      <alignment horizontal="right" vertical="top" wrapText="1"/>
    </xf>
    <xf numFmtId="3" fontId="61" fillId="72" borderId="9" xfId="0" applyNumberFormat="1" applyFont="1" applyFill="1" applyBorder="1" applyAlignment="1">
      <alignment horizontal="right" vertical="top" wrapText="1"/>
    </xf>
    <xf numFmtId="3" fontId="61" fillId="75" borderId="8" xfId="0" applyNumberFormat="1" applyFont="1" applyFill="1" applyBorder="1" applyAlignment="1">
      <alignment horizontal="right" vertical="top" wrapText="1"/>
    </xf>
    <xf numFmtId="3" fontId="5" fillId="73" borderId="7" xfId="0" applyNumberFormat="1" applyFont="1" applyFill="1" applyBorder="1" applyAlignment="1">
      <alignment horizontal="right" vertical="top" wrapText="1"/>
    </xf>
    <xf numFmtId="3" fontId="5" fillId="72" borderId="0" xfId="0" applyNumberFormat="1" applyFont="1" applyFill="1" applyAlignment="1">
      <alignment horizontal="right" vertical="top" wrapText="1"/>
    </xf>
    <xf numFmtId="167" fontId="11" fillId="72" borderId="8" xfId="0" applyNumberFormat="1" applyFont="1" applyFill="1" applyBorder="1" applyAlignment="1">
      <alignment horizontal="right" vertical="top" wrapText="1"/>
    </xf>
    <xf numFmtId="167" fontId="11" fillId="73" borderId="8" xfId="0" applyNumberFormat="1" applyFont="1" applyFill="1" applyBorder="1" applyAlignment="1">
      <alignment horizontal="right" vertical="top" wrapText="1"/>
    </xf>
    <xf numFmtId="167" fontId="78" fillId="73" borderId="8" xfId="0" applyNumberFormat="1" applyFont="1" applyFill="1" applyBorder="1" applyAlignment="1">
      <alignment horizontal="right" vertical="top" wrapText="1"/>
    </xf>
    <xf numFmtId="167" fontId="78" fillId="72" borderId="8" xfId="0" applyNumberFormat="1" applyFont="1" applyFill="1" applyBorder="1" applyAlignment="1">
      <alignment horizontal="right" vertical="top" wrapText="1"/>
    </xf>
    <xf numFmtId="167" fontId="11" fillId="72" borderId="9" xfId="0" applyNumberFormat="1" applyFont="1" applyFill="1" applyBorder="1" applyAlignment="1">
      <alignment horizontal="right" vertical="top" wrapText="1"/>
    </xf>
    <xf numFmtId="0" fontId="9" fillId="71" borderId="32" xfId="0" applyFont="1" applyFill="1" applyBorder="1" applyAlignment="1">
      <alignment horizontal="left" vertical="top" wrapText="1"/>
    </xf>
    <xf numFmtId="0" fontId="9" fillId="71" borderId="9" xfId="0" applyFont="1" applyFill="1" applyBorder="1" applyAlignment="1">
      <alignment horizontal="left" vertical="top" wrapText="1"/>
    </xf>
    <xf numFmtId="0" fontId="9" fillId="71" borderId="8" xfId="0" applyFont="1" applyFill="1" applyBorder="1" applyAlignment="1">
      <alignment horizontal="left" vertical="top" wrapText="1"/>
    </xf>
    <xf numFmtId="0" fontId="8" fillId="71" borderId="32" xfId="0" applyFont="1" applyFill="1" applyBorder="1" applyAlignment="1">
      <alignment horizontal="left" vertical="top" wrapText="1"/>
    </xf>
    <xf numFmtId="0" fontId="8" fillId="71" borderId="9" xfId="0" applyFont="1" applyFill="1" applyBorder="1" applyAlignment="1">
      <alignment horizontal="left" vertical="top" wrapText="1"/>
    </xf>
    <xf numFmtId="0" fontId="8" fillId="71" borderId="8" xfId="0" applyFont="1" applyFill="1" applyBorder="1" applyAlignment="1">
      <alignment horizontal="left" vertical="top" wrapText="1"/>
    </xf>
    <xf numFmtId="0" fontId="6" fillId="70" borderId="9" xfId="0" applyFont="1" applyFill="1" applyBorder="1" applyAlignment="1">
      <alignment horizontal="left" vertical="top" wrapText="1"/>
    </xf>
    <xf numFmtId="0" fontId="6" fillId="70" borderId="8" xfId="0" applyFont="1" applyFill="1" applyBorder="1" applyAlignment="1">
      <alignment horizontal="left" vertical="top" wrapText="1"/>
    </xf>
    <xf numFmtId="0" fontId="6" fillId="70" borderId="13" xfId="0" applyFont="1" applyFill="1" applyBorder="1" applyAlignment="1">
      <alignment horizontal="left" vertical="top" wrapText="1"/>
    </xf>
    <xf numFmtId="0" fontId="6" fillId="70" borderId="12" xfId="0" applyFont="1" applyFill="1" applyBorder="1" applyAlignment="1">
      <alignment horizontal="left" vertical="top" wrapText="1"/>
    </xf>
    <xf numFmtId="0" fontId="6" fillId="70" borderId="10" xfId="0" applyFont="1" applyFill="1" applyBorder="1" applyAlignment="1">
      <alignment horizontal="left" vertical="top" wrapText="1"/>
    </xf>
    <xf numFmtId="0" fontId="6" fillId="70" borderId="7" xfId="0" applyFont="1" applyFill="1" applyBorder="1" applyAlignment="1">
      <alignment horizontal="left" vertical="top" wrapText="1"/>
    </xf>
    <xf numFmtId="0" fontId="13" fillId="70" borderId="10" xfId="1" applyFont="1" applyFill="1" applyBorder="1" applyAlignment="1">
      <alignment horizontal="left" vertical="top" wrapText="1"/>
    </xf>
    <xf numFmtId="0" fontId="13" fillId="70" borderId="7" xfId="1" applyFont="1" applyFill="1" applyBorder="1" applyAlignment="1">
      <alignment horizontal="left" vertical="top" wrapText="1"/>
    </xf>
    <xf numFmtId="0" fontId="61" fillId="72" borderId="31" xfId="0" applyFont="1" applyFill="1" applyBorder="1" applyAlignment="1">
      <alignment horizontal="left" vertical="top" wrapText="1"/>
    </xf>
    <xf numFmtId="0" fontId="61" fillId="72" borderId="11" xfId="0" applyFont="1" applyFill="1" applyBorder="1" applyAlignment="1">
      <alignment horizontal="left" vertical="top" wrapText="1"/>
    </xf>
    <xf numFmtId="0" fontId="61" fillId="72" borderId="10" xfId="0" applyFont="1" applyFill="1" applyBorder="1" applyAlignment="1">
      <alignment horizontal="left" vertical="top" wrapText="1"/>
    </xf>
    <xf numFmtId="0" fontId="61" fillId="73" borderId="31" xfId="0" applyFont="1" applyFill="1" applyBorder="1" applyAlignment="1">
      <alignment horizontal="left" vertical="top" wrapText="1"/>
    </xf>
    <xf numFmtId="0" fontId="61" fillId="73" borderId="10" xfId="0" applyFont="1" applyFill="1" applyBorder="1" applyAlignment="1">
      <alignment horizontal="left" vertical="top" wrapText="1"/>
    </xf>
    <xf numFmtId="0" fontId="61" fillId="72" borderId="30" xfId="0" applyFont="1" applyFill="1" applyBorder="1" applyAlignment="1">
      <alignment horizontal="left" vertical="top" wrapText="1"/>
    </xf>
    <xf numFmtId="0" fontId="61" fillId="72" borderId="13" xfId="0" applyFont="1" applyFill="1" applyBorder="1" applyAlignment="1">
      <alignment horizontal="left" vertical="top" wrapText="1"/>
    </xf>
    <xf numFmtId="0" fontId="6" fillId="70" borderId="7" xfId="0" applyFont="1" applyFill="1" applyBorder="1" applyAlignment="1">
      <alignment vertical="center" wrapText="1"/>
    </xf>
    <xf numFmtId="0" fontId="6" fillId="70" borderId="8" xfId="0" applyFont="1" applyFill="1" applyBorder="1" applyAlignment="1">
      <alignment vertical="center" wrapText="1"/>
    </xf>
    <xf numFmtId="0" fontId="8" fillId="71" borderId="36" xfId="0" applyFont="1" applyFill="1" applyBorder="1" applyAlignment="1">
      <alignment vertical="top" wrapText="1"/>
    </xf>
    <xf numFmtId="0" fontId="8" fillId="71" borderId="32" xfId="0" applyFont="1" applyFill="1" applyBorder="1" applyAlignment="1">
      <alignment vertical="top" wrapText="1"/>
    </xf>
    <xf numFmtId="0" fontId="8" fillId="71" borderId="7" xfId="0" applyFont="1" applyFill="1" applyBorder="1" applyAlignment="1">
      <alignment vertical="top" wrapText="1"/>
    </xf>
    <xf numFmtId="0" fontId="8" fillId="71" borderId="8" xfId="0" applyFont="1" applyFill="1" applyBorder="1" applyAlignment="1">
      <alignment vertical="top" wrapText="1"/>
    </xf>
    <xf numFmtId="0" fontId="8" fillId="71" borderId="33" xfId="0" applyFont="1" applyFill="1" applyBorder="1" applyAlignment="1">
      <alignment vertical="top" wrapText="1"/>
    </xf>
    <xf numFmtId="0" fontId="8" fillId="71" borderId="34" xfId="0" applyFont="1" applyFill="1" applyBorder="1" applyAlignment="1">
      <alignment vertical="top" wrapText="1"/>
    </xf>
    <xf numFmtId="0" fontId="9" fillId="71" borderId="0" xfId="0" applyFont="1" applyFill="1" applyAlignment="1">
      <alignment vertical="top" wrapText="1"/>
    </xf>
    <xf numFmtId="0" fontId="5" fillId="72" borderId="30" xfId="0" applyFont="1" applyFill="1" applyBorder="1" applyAlignment="1">
      <alignment horizontal="right" vertical="top" wrapText="1"/>
    </xf>
    <xf numFmtId="0" fontId="5" fillId="72" borderId="12" xfId="0" applyFont="1" applyFill="1" applyBorder="1" applyAlignment="1">
      <alignment horizontal="right" vertical="top" wrapText="1"/>
    </xf>
    <xf numFmtId="0" fontId="5" fillId="72" borderId="30" xfId="0" applyFont="1" applyFill="1" applyBorder="1" applyAlignment="1">
      <alignment horizontal="left" vertical="top" wrapText="1"/>
    </xf>
    <xf numFmtId="0" fontId="5" fillId="72" borderId="12" xfId="0" applyFont="1" applyFill="1" applyBorder="1" applyAlignment="1">
      <alignment horizontal="left" vertical="top" wrapText="1"/>
    </xf>
    <xf numFmtId="0" fontId="5" fillId="73" borderId="35" xfId="0" applyFont="1" applyFill="1" applyBorder="1" applyAlignment="1">
      <alignment horizontal="left" vertical="top" wrapText="1"/>
    </xf>
    <xf numFmtId="0" fontId="5" fillId="73" borderId="34" xfId="0" applyFont="1" applyFill="1" applyBorder="1" applyAlignment="1">
      <alignment horizontal="left" vertical="top" wrapText="1"/>
    </xf>
    <xf numFmtId="0" fontId="5" fillId="72" borderId="35" xfId="0" applyFont="1" applyFill="1" applyBorder="1" applyAlignment="1">
      <alignment horizontal="left" vertical="top" wrapText="1"/>
    </xf>
    <xf numFmtId="0" fontId="5" fillId="72" borderId="34" xfId="0" applyFont="1" applyFill="1" applyBorder="1" applyAlignment="1">
      <alignment horizontal="left" vertical="top" wrapText="1"/>
    </xf>
    <xf numFmtId="0" fontId="6" fillId="70" borderId="11" xfId="0" applyFont="1" applyFill="1" applyBorder="1" applyAlignment="1">
      <alignment horizontal="left" vertical="top" wrapText="1"/>
    </xf>
    <xf numFmtId="0" fontId="6" fillId="70" borderId="0" xfId="0" applyFont="1" applyFill="1" applyAlignment="1">
      <alignment horizontal="left" vertical="top" wrapText="1"/>
    </xf>
    <xf numFmtId="0" fontId="61" fillId="73" borderId="30" xfId="0" applyFont="1" applyFill="1" applyBorder="1" applyAlignment="1">
      <alignment horizontal="left" vertical="top" wrapText="1"/>
    </xf>
    <xf numFmtId="0" fontId="61" fillId="73" borderId="12" xfId="0" applyFont="1" applyFill="1" applyBorder="1" applyAlignment="1">
      <alignment horizontal="left" vertical="top" wrapText="1"/>
    </xf>
    <xf numFmtId="0" fontId="61" fillId="73" borderId="30" xfId="0" applyFont="1" applyFill="1" applyBorder="1" applyAlignment="1">
      <alignment horizontal="right" vertical="top" wrapText="1"/>
    </xf>
    <xf numFmtId="0" fontId="61" fillId="73" borderId="12" xfId="0" applyFont="1" applyFill="1" applyBorder="1" applyAlignment="1">
      <alignment horizontal="right" vertical="top" wrapText="1"/>
    </xf>
    <xf numFmtId="0" fontId="61" fillId="73" borderId="13" xfId="0" applyFont="1" applyFill="1" applyBorder="1" applyAlignment="1">
      <alignment horizontal="left" vertical="top" wrapText="1"/>
    </xf>
    <xf numFmtId="0" fontId="61" fillId="73" borderId="13" xfId="0" applyFont="1" applyFill="1" applyBorder="1" applyAlignment="1">
      <alignment horizontal="right" vertical="top" wrapText="1"/>
    </xf>
    <xf numFmtId="0" fontId="6" fillId="70" borderId="9" xfId="0" applyFont="1" applyFill="1" applyBorder="1" applyAlignment="1">
      <alignment horizontal="left" vertical="top"/>
    </xf>
    <xf numFmtId="0" fontId="6" fillId="70" borderId="8" xfId="0" applyFont="1" applyFill="1" applyBorder="1" applyAlignment="1">
      <alignment horizontal="left" vertical="top"/>
    </xf>
    <xf numFmtId="0" fontId="6" fillId="70" borderId="10" xfId="0" applyFont="1" applyFill="1" applyBorder="1" applyAlignment="1">
      <alignment horizontal="left" vertical="top"/>
    </xf>
    <xf numFmtId="0" fontId="6" fillId="70" borderId="7" xfId="0" applyFont="1" applyFill="1" applyBorder="1" applyAlignment="1">
      <alignment horizontal="left" vertical="top"/>
    </xf>
    <xf numFmtId="0" fontId="75" fillId="70" borderId="9" xfId="0" applyFont="1" applyFill="1" applyBorder="1" applyAlignment="1">
      <alignment horizontal="left" vertical="top" wrapText="1"/>
    </xf>
    <xf numFmtId="0" fontId="75" fillId="70" borderId="8" xfId="0" applyFont="1" applyFill="1" applyBorder="1" applyAlignment="1">
      <alignment horizontal="left" vertical="top" wrapText="1"/>
    </xf>
    <xf numFmtId="0" fontId="75" fillId="70" borderId="10" xfId="0" applyFont="1" applyFill="1" applyBorder="1" applyAlignment="1">
      <alignment horizontal="left" vertical="top" wrapText="1"/>
    </xf>
    <xf numFmtId="0" fontId="75" fillId="70" borderId="7" xfId="0" applyFont="1" applyFill="1" applyBorder="1" applyAlignment="1">
      <alignment horizontal="left" vertical="top" wrapText="1"/>
    </xf>
    <xf numFmtId="0" fontId="77" fillId="71" borderId="33" xfId="0" applyFont="1" applyFill="1" applyBorder="1" applyAlignment="1">
      <alignment horizontal="left" vertical="top" wrapText="1"/>
    </xf>
  </cellXfs>
  <cellStyles count="484">
    <cellStyle name="20% - Accent1 2" xfId="2"/>
    <cellStyle name="20% - Accent1 2 2" xfId="3"/>
    <cellStyle name="20% - Accent1 2 2 2" xfId="4"/>
    <cellStyle name="20% - Accent1 2 2 3" xfId="5"/>
    <cellStyle name="20% - Accent1 2 3" xfId="6"/>
    <cellStyle name="20% - Accent1 3" xfId="7"/>
    <cellStyle name="20% - Accent1 3 2" xfId="8"/>
    <cellStyle name="20% - Accent1 3 3" xfId="9"/>
    <cellStyle name="20% - Accent1 4" xfId="10"/>
    <cellStyle name="20% - Accent1 4 2" xfId="11"/>
    <cellStyle name="20% - Accent1 4 3" xfId="12"/>
    <cellStyle name="20% - Accent1 5" xfId="13"/>
    <cellStyle name="20% - Accent1 6" xfId="14"/>
    <cellStyle name="20% - Accent1 7" xfId="15"/>
    <cellStyle name="20% - Accent2 2" xfId="16"/>
    <cellStyle name="20% - Accent2 2 2" xfId="17"/>
    <cellStyle name="20% - Accent2 2 2 2" xfId="18"/>
    <cellStyle name="20% - Accent2 2 2 3" xfId="19"/>
    <cellStyle name="20% - Accent2 2 3" xfId="20"/>
    <cellStyle name="20% - Accent2 3" xfId="21"/>
    <cellStyle name="20% - Accent2 3 2" xfId="22"/>
    <cellStyle name="20% - Accent2 3 3" xfId="23"/>
    <cellStyle name="20% - Accent2 4" xfId="24"/>
    <cellStyle name="20% - Accent2 4 2" xfId="25"/>
    <cellStyle name="20% - Accent2 4 3" xfId="26"/>
    <cellStyle name="20% - Accent2 5" xfId="27"/>
    <cellStyle name="20% - Accent2 6" xfId="28"/>
    <cellStyle name="20% - Accent2 7" xfId="29"/>
    <cellStyle name="20% - Accent3 2" xfId="30"/>
    <cellStyle name="20% - Accent3 2 2" xfId="31"/>
    <cellStyle name="20% - Accent3 2 2 2" xfId="32"/>
    <cellStyle name="20% - Accent3 2 2 3" xfId="33"/>
    <cellStyle name="20% - Accent3 2 3" xfId="34"/>
    <cellStyle name="20% - Accent3 3" xfId="35"/>
    <cellStyle name="20% - Accent3 3 2" xfId="36"/>
    <cellStyle name="20% - Accent3 3 3" xfId="37"/>
    <cellStyle name="20% - Accent3 4" xfId="38"/>
    <cellStyle name="20% - Accent3 4 2" xfId="39"/>
    <cellStyle name="20% - Accent3 4 3" xfId="40"/>
    <cellStyle name="20% - Accent3 5" xfId="41"/>
    <cellStyle name="20% - Accent3 6" xfId="42"/>
    <cellStyle name="20% - Accent3 7" xfId="43"/>
    <cellStyle name="20% - Accent4 2" xfId="44"/>
    <cellStyle name="20% - Accent4 2 2" xfId="45"/>
    <cellStyle name="20% - Accent4 2 2 2" xfId="46"/>
    <cellStyle name="20% - Accent4 2 2 3" xfId="47"/>
    <cellStyle name="20% - Accent4 2 3" xfId="48"/>
    <cellStyle name="20% - Accent4 3" xfId="49"/>
    <cellStyle name="20% - Accent4 3 2" xfId="50"/>
    <cellStyle name="20% - Accent4 3 3" xfId="51"/>
    <cellStyle name="20% - Accent4 4" xfId="52"/>
    <cellStyle name="20% - Accent4 4 2" xfId="53"/>
    <cellStyle name="20% - Accent4 4 3" xfId="54"/>
    <cellStyle name="20% - Accent4 5" xfId="55"/>
    <cellStyle name="20% - Accent4 6" xfId="56"/>
    <cellStyle name="20% - Accent4 7" xfId="57"/>
    <cellStyle name="20% - Accent5 2" xfId="58"/>
    <cellStyle name="20% - Accent5 2 2" xfId="59"/>
    <cellStyle name="20% - Accent5 2 2 2" xfId="60"/>
    <cellStyle name="20% - Accent5 2 2 3" xfId="61"/>
    <cellStyle name="20% - Accent5 2 3" xfId="62"/>
    <cellStyle name="20% - Accent5 3" xfId="63"/>
    <cellStyle name="20% - Accent5 3 2" xfId="64"/>
    <cellStyle name="20% - Accent5 3 3" xfId="65"/>
    <cellStyle name="20% - Accent5 4" xfId="66"/>
    <cellStyle name="20% - Accent5 4 2" xfId="67"/>
    <cellStyle name="20% - Accent5 4 3" xfId="68"/>
    <cellStyle name="20% - Accent5 5" xfId="69"/>
    <cellStyle name="20% - Accent5 6" xfId="70"/>
    <cellStyle name="20% - Accent5 7" xfId="71"/>
    <cellStyle name="20% - Accent6 2" xfId="72"/>
    <cellStyle name="20% - Accent6 2 2" xfId="73"/>
    <cellStyle name="20% - Accent6 2 2 2" xfId="74"/>
    <cellStyle name="20% - Accent6 2 2 3" xfId="75"/>
    <cellStyle name="20% - Accent6 2 3" xfId="76"/>
    <cellStyle name="20% - Accent6 3" xfId="77"/>
    <cellStyle name="20% - Accent6 3 2" xfId="78"/>
    <cellStyle name="20% - Accent6 3 3" xfId="79"/>
    <cellStyle name="20% - Accent6 4" xfId="80"/>
    <cellStyle name="20% - Accent6 4 2" xfId="81"/>
    <cellStyle name="20% - Accent6 4 3" xfId="82"/>
    <cellStyle name="20% - Accent6 5" xfId="83"/>
    <cellStyle name="20% - Accent6 6" xfId="84"/>
    <cellStyle name="20% - Accent6 7" xfId="85"/>
    <cellStyle name="40% - Accent1 2" xfId="86"/>
    <cellStyle name="40% - Accent1 2 2" xfId="87"/>
    <cellStyle name="40% - Accent1 2 2 2" xfId="88"/>
    <cellStyle name="40% - Accent1 2 2 3" xfId="89"/>
    <cellStyle name="40% - Accent1 2 3" xfId="90"/>
    <cellStyle name="40% - Accent1 3" xfId="91"/>
    <cellStyle name="40% - Accent1 3 2" xfId="92"/>
    <cellStyle name="40% - Accent1 3 3" xfId="93"/>
    <cellStyle name="40% - Accent1 4" xfId="94"/>
    <cellStyle name="40% - Accent1 4 2" xfId="95"/>
    <cellStyle name="40% - Accent1 4 3" xfId="96"/>
    <cellStyle name="40% - Accent1 5" xfId="97"/>
    <cellStyle name="40% - Accent1 6" xfId="98"/>
    <cellStyle name="40% - Accent1 7" xfId="99"/>
    <cellStyle name="40% - Accent2 2" xfId="100"/>
    <cellStyle name="40% - Accent2 2 2" xfId="101"/>
    <cellStyle name="40% - Accent2 2 2 2" xfId="102"/>
    <cellStyle name="40% - Accent2 2 2 3" xfId="103"/>
    <cellStyle name="40% - Accent2 2 3" xfId="104"/>
    <cellStyle name="40% - Accent2 3" xfId="105"/>
    <cellStyle name="40% - Accent2 3 2" xfId="106"/>
    <cellStyle name="40% - Accent2 3 3" xfId="107"/>
    <cellStyle name="40% - Accent2 4" xfId="108"/>
    <cellStyle name="40% - Accent2 4 2" xfId="109"/>
    <cellStyle name="40% - Accent2 4 3" xfId="110"/>
    <cellStyle name="40% - Accent2 5" xfId="111"/>
    <cellStyle name="40% - Accent2 6" xfId="112"/>
    <cellStyle name="40% - Accent2 7" xfId="113"/>
    <cellStyle name="40% - Accent3 2" xfId="114"/>
    <cellStyle name="40% - Accent3 2 2" xfId="115"/>
    <cellStyle name="40% - Accent3 2 2 2" xfId="116"/>
    <cellStyle name="40% - Accent3 2 2 3" xfId="117"/>
    <cellStyle name="40% - Accent3 2 3" xfId="118"/>
    <cellStyle name="40% - Accent3 3" xfId="119"/>
    <cellStyle name="40% - Accent3 3 2" xfId="120"/>
    <cellStyle name="40% - Accent3 3 3" xfId="121"/>
    <cellStyle name="40% - Accent3 4" xfId="122"/>
    <cellStyle name="40% - Accent3 4 2" xfId="123"/>
    <cellStyle name="40% - Accent3 4 3" xfId="124"/>
    <cellStyle name="40% - Accent3 5" xfId="125"/>
    <cellStyle name="40% - Accent3 6" xfId="126"/>
    <cellStyle name="40% - Accent3 7" xfId="127"/>
    <cellStyle name="40% - Accent4 2" xfId="128"/>
    <cellStyle name="40% - Accent4 2 2" xfId="129"/>
    <cellStyle name="40% - Accent4 2 2 2" xfId="130"/>
    <cellStyle name="40% - Accent4 2 2 3" xfId="131"/>
    <cellStyle name="40% - Accent4 2 3" xfId="132"/>
    <cellStyle name="40% - Accent4 3" xfId="133"/>
    <cellStyle name="40% - Accent4 3 2" xfId="134"/>
    <cellStyle name="40% - Accent4 3 3" xfId="135"/>
    <cellStyle name="40% - Accent4 4" xfId="136"/>
    <cellStyle name="40% - Accent4 4 2" xfId="137"/>
    <cellStyle name="40% - Accent4 4 3" xfId="138"/>
    <cellStyle name="40% - Accent4 5" xfId="139"/>
    <cellStyle name="40% - Accent4 6" xfId="140"/>
    <cellStyle name="40% - Accent4 7" xfId="141"/>
    <cellStyle name="40% - Accent5 2" xfId="142"/>
    <cellStyle name="40% - Accent5 2 2" xfId="143"/>
    <cellStyle name="40% - Accent5 2 2 2" xfId="144"/>
    <cellStyle name="40% - Accent5 2 2 3" xfId="145"/>
    <cellStyle name="40% - Accent5 2 3" xfId="146"/>
    <cellStyle name="40% - Accent5 3" xfId="147"/>
    <cellStyle name="40% - Accent5 3 2" xfId="148"/>
    <cellStyle name="40% - Accent5 3 3" xfId="149"/>
    <cellStyle name="40% - Accent5 4" xfId="150"/>
    <cellStyle name="40% - Accent5 4 2" xfId="151"/>
    <cellStyle name="40% - Accent5 4 3" xfId="152"/>
    <cellStyle name="40% - Accent5 5" xfId="153"/>
    <cellStyle name="40% - Accent5 6" xfId="154"/>
    <cellStyle name="40% - Accent5 7" xfId="155"/>
    <cellStyle name="40% - Accent6 2" xfId="156"/>
    <cellStyle name="40% - Accent6 2 2" xfId="157"/>
    <cellStyle name="40% - Accent6 2 2 2" xfId="158"/>
    <cellStyle name="40% - Accent6 2 2 3" xfId="159"/>
    <cellStyle name="40% - Accent6 2 3" xfId="160"/>
    <cellStyle name="40% - Accent6 3" xfId="161"/>
    <cellStyle name="40% - Accent6 3 2" xfId="162"/>
    <cellStyle name="40% - Accent6 3 3" xfId="163"/>
    <cellStyle name="40% - Accent6 4" xfId="164"/>
    <cellStyle name="40% - Accent6 4 2" xfId="165"/>
    <cellStyle name="40% - Accent6 4 3" xfId="166"/>
    <cellStyle name="40% - Accent6 5" xfId="167"/>
    <cellStyle name="40% - Accent6 6" xfId="168"/>
    <cellStyle name="40% - Accent6 7" xfId="169"/>
    <cellStyle name="60% - Accent1 2" xfId="170"/>
    <cellStyle name="60% - Accent1 2 2" xfId="171"/>
    <cellStyle name="60% - Accent1 2 2 2" xfId="172"/>
    <cellStyle name="60% - Accent1 2 2 3" xfId="173"/>
    <cellStyle name="60% - Accent1 2 3" xfId="174"/>
    <cellStyle name="60% - Accent2 2" xfId="175"/>
    <cellStyle name="60% - Accent2 2 2" xfId="176"/>
    <cellStyle name="60% - Accent2 2 2 2" xfId="177"/>
    <cellStyle name="60% - Accent2 2 2 3" xfId="178"/>
    <cellStyle name="60% - Accent2 2 3" xfId="179"/>
    <cellStyle name="60% - Accent3 2" xfId="180"/>
    <cellStyle name="60% - Accent3 2 2" xfId="181"/>
    <cellStyle name="60% - Accent3 2 2 2" xfId="182"/>
    <cellStyle name="60% - Accent3 2 2 3" xfId="183"/>
    <cellStyle name="60% - Accent3 2 3" xfId="184"/>
    <cellStyle name="60% - Accent4 2" xfId="185"/>
    <cellStyle name="60% - Accent4 2 2" xfId="186"/>
    <cellStyle name="60% - Accent4 2 2 2" xfId="187"/>
    <cellStyle name="60% - Accent4 2 2 3" xfId="188"/>
    <cellStyle name="60% - Accent4 2 3" xfId="189"/>
    <cellStyle name="60% - Accent5 2" xfId="190"/>
    <cellStyle name="60% - Accent5 2 2" xfId="191"/>
    <cellStyle name="60% - Accent5 2 2 2" xfId="192"/>
    <cellStyle name="60% - Accent5 2 2 3" xfId="193"/>
    <cellStyle name="60% - Accent5 2 3" xfId="194"/>
    <cellStyle name="60% - Accent6 2" xfId="195"/>
    <cellStyle name="60% - Accent6 2 2" xfId="196"/>
    <cellStyle name="60% - Accent6 2 2 2" xfId="197"/>
    <cellStyle name="60% - Accent6 2 2 3" xfId="198"/>
    <cellStyle name="60% - Accent6 2 3" xfId="199"/>
    <cellStyle name="Accent1 - 20%" xfId="200"/>
    <cellStyle name="Accent1 - 40%" xfId="201"/>
    <cellStyle name="Accent1 - 60%" xfId="202"/>
    <cellStyle name="Accent1 2" xfId="203"/>
    <cellStyle name="Accent1 2 2" xfId="204"/>
    <cellStyle name="Accent1 2 3" xfId="205"/>
    <cellStyle name="Accent1 2 3 2" xfId="206"/>
    <cellStyle name="Accent1 2 3 3" xfId="207"/>
    <cellStyle name="Accent1 2 4" xfId="208"/>
    <cellStyle name="Accent2 - 20%" xfId="209"/>
    <cellStyle name="Accent2 - 40%" xfId="210"/>
    <cellStyle name="Accent2 - 60%" xfId="211"/>
    <cellStyle name="Accent2 2" xfId="212"/>
    <cellStyle name="Accent2 2 2" xfId="213"/>
    <cellStyle name="Accent2 2 3" xfId="214"/>
    <cellStyle name="Accent2 2 3 2" xfId="215"/>
    <cellStyle name="Accent2 2 3 3" xfId="216"/>
    <cellStyle name="Accent2 2 4" xfId="217"/>
    <cellStyle name="Accent3 - 20%" xfId="218"/>
    <cellStyle name="Accent3 - 40%" xfId="219"/>
    <cellStyle name="Accent3 - 60%" xfId="220"/>
    <cellStyle name="Accent3 2" xfId="221"/>
    <cellStyle name="Accent3 2 2" xfId="222"/>
    <cellStyle name="Accent3 2 3" xfId="223"/>
    <cellStyle name="Accent3 2 3 2" xfId="224"/>
    <cellStyle name="Accent3 2 3 3" xfId="225"/>
    <cellStyle name="Accent3 2 4" xfId="226"/>
    <cellStyle name="Accent4 - 20%" xfId="227"/>
    <cellStyle name="Accent4 - 40%" xfId="228"/>
    <cellStyle name="Accent4 - 60%" xfId="229"/>
    <cellStyle name="Accent4 2" xfId="230"/>
    <cellStyle name="Accent4 2 2" xfId="231"/>
    <cellStyle name="Accent4 2 3" xfId="232"/>
    <cellStyle name="Accent4 2 3 2" xfId="233"/>
    <cellStyle name="Accent4 2 3 3" xfId="234"/>
    <cellStyle name="Accent4 2 4" xfId="235"/>
    <cellStyle name="Accent5 - 20%" xfId="236"/>
    <cellStyle name="Accent5 - 40%" xfId="237"/>
    <cellStyle name="Accent5 - 60%" xfId="238"/>
    <cellStyle name="Accent5 2" xfId="239"/>
    <cellStyle name="Accent5 2 2" xfId="240"/>
    <cellStyle name="Accent5 2 3" xfId="241"/>
    <cellStyle name="Accent5 2 3 2" xfId="242"/>
    <cellStyle name="Accent5 2 3 3" xfId="243"/>
    <cellStyle name="Accent5 2 4" xfId="244"/>
    <cellStyle name="Accent6 - 20%" xfId="245"/>
    <cellStyle name="Accent6 - 40%" xfId="246"/>
    <cellStyle name="Accent6 - 60%" xfId="247"/>
    <cellStyle name="Accent6 2" xfId="248"/>
    <cellStyle name="Accent6 2 2" xfId="249"/>
    <cellStyle name="Accent6 2 3" xfId="250"/>
    <cellStyle name="Accent6 2 3 2" xfId="251"/>
    <cellStyle name="Accent6 2 3 3" xfId="252"/>
    <cellStyle name="Accent6 2 4" xfId="253"/>
    <cellStyle name="Accent6 3" xfId="254"/>
    <cellStyle name="Accent6 4" xfId="255"/>
    <cellStyle name="Accent6 5" xfId="256"/>
    <cellStyle name="Accent6 6" xfId="257"/>
    <cellStyle name="Bad 2" xfId="258"/>
    <cellStyle name="Bad 2 2" xfId="259"/>
    <cellStyle name="Bad 2 3" xfId="260"/>
    <cellStyle name="Bad 2 3 2" xfId="261"/>
    <cellStyle name="Bad 2 3 3" xfId="262"/>
    <cellStyle name="Bad 2 4" xfId="263"/>
    <cellStyle name="Bad 3" xfId="264"/>
    <cellStyle name="Calculation 2" xfId="265"/>
    <cellStyle name="Calculation 2 2" xfId="266"/>
    <cellStyle name="Calculation 2 3" xfId="267"/>
    <cellStyle name="Calculation 2 3 2" xfId="268"/>
    <cellStyle name="Calculation 2 3 3" xfId="269"/>
    <cellStyle name="Calculation 2 4" xfId="270"/>
    <cellStyle name="Check Cell 2" xfId="271"/>
    <cellStyle name="Check Cell 2 2" xfId="272"/>
    <cellStyle name="Check Cell 2 3" xfId="273"/>
    <cellStyle name="Check Cell 2 3 2" xfId="274"/>
    <cellStyle name="Check Cell 2 3 3" xfId="275"/>
    <cellStyle name="Check Cell 2 4" xfId="276"/>
    <cellStyle name="Comma 2" xfId="277"/>
    <cellStyle name="Comma 2 2" xfId="278"/>
    <cellStyle name="Comma 2 2 2" xfId="279"/>
    <cellStyle name="Comma 2 2 3" xfId="280"/>
    <cellStyle name="Comma 2 3" xfId="281"/>
    <cellStyle name="Comma 2 3 2" xfId="282"/>
    <cellStyle name="Comma 2 3 3" xfId="283"/>
    <cellStyle name="Comma 2 4" xfId="284"/>
    <cellStyle name="Comma 2 5" xfId="285"/>
    <cellStyle name="Comma 2 6" xfId="286"/>
    <cellStyle name="Comma 2 7" xfId="287"/>
    <cellStyle name="Comma 3" xfId="288"/>
    <cellStyle name="Comma 3 2" xfId="289"/>
    <cellStyle name="Comma 3 3" xfId="290"/>
    <cellStyle name="Comma 4" xfId="291"/>
    <cellStyle name="Comma 5" xfId="292"/>
    <cellStyle name="Comma 5 2" xfId="293"/>
    <cellStyle name="Comma 6" xfId="483"/>
    <cellStyle name="Emphasis 1" xfId="294"/>
    <cellStyle name="Emphasis 2" xfId="295"/>
    <cellStyle name="Emphasis 3" xfId="296"/>
    <cellStyle name="Even column" xfId="297"/>
    <cellStyle name="Even column last row" xfId="298"/>
    <cellStyle name="Even number" xfId="299"/>
    <cellStyle name="Even number last row" xfId="300"/>
    <cellStyle name="Explanatory Text 2" xfId="301"/>
    <cellStyle name="Explanatory Text 2 2" xfId="302"/>
    <cellStyle name="Explanatory Text 2 2 2" xfId="303"/>
    <cellStyle name="Explanatory Text 2 2 3" xfId="304"/>
    <cellStyle name="Explanatory Text 2 3" xfId="305"/>
    <cellStyle name="Followed Hyperlink" xfId="479" builtinId="9" customBuiltin="1"/>
    <cellStyle name="Good 2" xfId="306"/>
    <cellStyle name="Good 2 2" xfId="307"/>
    <cellStyle name="Good 2 3" xfId="308"/>
    <cellStyle name="Good 2 3 2" xfId="309"/>
    <cellStyle name="Good 2 3 3" xfId="310"/>
    <cellStyle name="Good 2 4" xfId="311"/>
    <cellStyle name="Good 3" xfId="312"/>
    <cellStyle name="Heading 1 2" xfId="313"/>
    <cellStyle name="Heading 1 2 2" xfId="314"/>
    <cellStyle name="Heading 2 2" xfId="315"/>
    <cellStyle name="Heading 2 2 2" xfId="316"/>
    <cellStyle name="Heading 3 2" xfId="317"/>
    <cellStyle name="Heading 3 2 2" xfId="318"/>
    <cellStyle name="Heading 4 2" xfId="319"/>
    <cellStyle name="Heading 4 2 2" xfId="320"/>
    <cellStyle name="Hyperlink" xfId="1" builtinId="8" customBuiltin="1"/>
    <cellStyle name="Hyperlink 2" xfId="321"/>
    <cellStyle name="Input 2" xfId="322"/>
    <cellStyle name="Input 2 2" xfId="323"/>
    <cellStyle name="Input 2 3" xfId="324"/>
    <cellStyle name="Input 2 3 2" xfId="325"/>
    <cellStyle name="Input 2 3 3" xfId="326"/>
    <cellStyle name="Input 2 4" xfId="327"/>
    <cellStyle name="Linked Cell 2" xfId="328"/>
    <cellStyle name="Linked Cell 2 2" xfId="329"/>
    <cellStyle name="Linked Cell 2 3" xfId="330"/>
    <cellStyle name="Linked Cell 2 3 2" xfId="331"/>
    <cellStyle name="Linked Cell 2 3 3" xfId="332"/>
    <cellStyle name="Linked Cell 2 4" xfId="333"/>
    <cellStyle name="Neutral 2" xfId="334"/>
    <cellStyle name="Neutral 2 2" xfId="335"/>
    <cellStyle name="Neutral 2 3" xfId="336"/>
    <cellStyle name="Neutral 2 3 2" xfId="337"/>
    <cellStyle name="Neutral 2 3 3" xfId="338"/>
    <cellStyle name="Neutral 2 4" xfId="339"/>
    <cellStyle name="Neutral 3" xfId="340"/>
    <cellStyle name="Normal" xfId="0" builtinId="0"/>
    <cellStyle name="Normal 10" xfId="341"/>
    <cellStyle name="Normal 11" xfId="342"/>
    <cellStyle name="Normal 11 2" xfId="343"/>
    <cellStyle name="Normal 11 3" xfId="344"/>
    <cellStyle name="Normal 11 4" xfId="345"/>
    <cellStyle name="Normal 12" xfId="346"/>
    <cellStyle name="Normal 12 2" xfId="347"/>
    <cellStyle name="Normal 12 2 2" xfId="348"/>
    <cellStyle name="Normal 12 3" xfId="349"/>
    <cellStyle name="Normal 12 4" xfId="350"/>
    <cellStyle name="Normal 13" xfId="351"/>
    <cellStyle name="Normal 14" xfId="352"/>
    <cellStyle name="Normal 14 2" xfId="353"/>
    <cellStyle name="Normal 14 3" xfId="354"/>
    <cellStyle name="Normal 15" xfId="355"/>
    <cellStyle name="Normal 15 2" xfId="356"/>
    <cellStyle name="Normal 15 3" xfId="357"/>
    <cellStyle name="Normal 16" xfId="480"/>
    <cellStyle name="Normal 17" xfId="481"/>
    <cellStyle name="Normal 18" xfId="482"/>
    <cellStyle name="Normal 2" xfId="358"/>
    <cellStyle name="Normal 2 2" xfId="359"/>
    <cellStyle name="Normal 2 2 2" xfId="360"/>
    <cellStyle name="Normal 2 2 2 2" xfId="361"/>
    <cellStyle name="Normal 2 2 2 3" xfId="362"/>
    <cellStyle name="Normal 2 2 3" xfId="363"/>
    <cellStyle name="Normal 2 3" xfId="364"/>
    <cellStyle name="Normal 2 3 2" xfId="365"/>
    <cellStyle name="Normal 2 3 3" xfId="366"/>
    <cellStyle name="Normal 2 4" xfId="367"/>
    <cellStyle name="Normal 2 4 2" xfId="368"/>
    <cellStyle name="Normal 2 4 3" xfId="369"/>
    <cellStyle name="Normal 2 5" xfId="370"/>
    <cellStyle name="Normal 2 5 2" xfId="371"/>
    <cellStyle name="Normal 2 5 2 2" xfId="372"/>
    <cellStyle name="Normal 2 5 3" xfId="373"/>
    <cellStyle name="Normal 2 5 4" xfId="374"/>
    <cellStyle name="Normal 2 6" xfId="375"/>
    <cellStyle name="Normal 2 6 2" xfId="376"/>
    <cellStyle name="Normal 2 6 3" xfId="377"/>
    <cellStyle name="Normal 2 7" xfId="378"/>
    <cellStyle name="Normal 2 8" xfId="379"/>
    <cellStyle name="Normal 2 9" xfId="380"/>
    <cellStyle name="Normal 3" xfId="381"/>
    <cellStyle name="Normal 3 2" xfId="382"/>
    <cellStyle name="Normal 3 2 2" xfId="383"/>
    <cellStyle name="Normal 3 2 3" xfId="384"/>
    <cellStyle name="Normal 3 3" xfId="385"/>
    <cellStyle name="Normal 3 3 2" xfId="386"/>
    <cellStyle name="Normal 3 3 3" xfId="387"/>
    <cellStyle name="Normal 3 4" xfId="388"/>
    <cellStyle name="Normal 3 5" xfId="389"/>
    <cellStyle name="Normal 3 6" xfId="390"/>
    <cellStyle name="Normal 4" xfId="391"/>
    <cellStyle name="Normal 4 2" xfId="392"/>
    <cellStyle name="Normal 4 2 2" xfId="393"/>
    <cellStyle name="Normal 4 2 3" xfId="394"/>
    <cellStyle name="Normal 4 3" xfId="395"/>
    <cellStyle name="Normal 4 4" xfId="396"/>
    <cellStyle name="Normal 4 5" xfId="397"/>
    <cellStyle name="Normal 5" xfId="398"/>
    <cellStyle name="Normal 5 2" xfId="399"/>
    <cellStyle name="Normal 5 2 2" xfId="400"/>
    <cellStyle name="Normal 5 2 2 2" xfId="401"/>
    <cellStyle name="Normal 5 2 2 2 2" xfId="402"/>
    <cellStyle name="Normal 5 2 2 3" xfId="403"/>
    <cellStyle name="Normal 5 2 3" xfId="404"/>
    <cellStyle name="Normal 5 2 4" xfId="405"/>
    <cellStyle name="Normal 5 2 4 2" xfId="406"/>
    <cellStyle name="Normal 5 3" xfId="407"/>
    <cellStyle name="Normal 5 4" xfId="408"/>
    <cellStyle name="Normal 5 4 2" xfId="409"/>
    <cellStyle name="Normal 5 4 2 2" xfId="410"/>
    <cellStyle name="Normal 5 4 3" xfId="411"/>
    <cellStyle name="Normal 5 5" xfId="412"/>
    <cellStyle name="Normal 6" xfId="413"/>
    <cellStyle name="Normal 6 2" xfId="414"/>
    <cellStyle name="Normal 6 2 2" xfId="415"/>
    <cellStyle name="Normal 6 2 3" xfId="416"/>
    <cellStyle name="Normal 6 3" xfId="417"/>
    <cellStyle name="Normal 6 3 2" xfId="418"/>
    <cellStyle name="Normal 6 3 3" xfId="419"/>
    <cellStyle name="Normal 6 4" xfId="420"/>
    <cellStyle name="Normal 7" xfId="421"/>
    <cellStyle name="Normal 7 2" xfId="422"/>
    <cellStyle name="Normal 7 2 2" xfId="423"/>
    <cellStyle name="Normal 7 2 3" xfId="424"/>
    <cellStyle name="Normal 8" xfId="425"/>
    <cellStyle name="Normal 8 2" xfId="426"/>
    <cellStyle name="Normal 8 2 2" xfId="427"/>
    <cellStyle name="Normal 9" xfId="428"/>
    <cellStyle name="Note 2" xfId="429"/>
    <cellStyle name="Note 2 2" xfId="430"/>
    <cellStyle name="Note 2 2 2" xfId="431"/>
    <cellStyle name="Note 2 2 2 2" xfId="432"/>
    <cellStyle name="Note 2 2 2 3" xfId="433"/>
    <cellStyle name="Note 2 2 3" xfId="434"/>
    <cellStyle name="Note 2 3" xfId="435"/>
    <cellStyle name="Note 2 3 2" xfId="436"/>
    <cellStyle name="Note 2 3 3" xfId="437"/>
    <cellStyle name="Note 2 4" xfId="438"/>
    <cellStyle name="Note 2 4 2" xfId="439"/>
    <cellStyle name="Note 2 4 3" xfId="440"/>
    <cellStyle name="Note 2 5" xfId="441"/>
    <cellStyle name="Note 2 6" xfId="442"/>
    <cellStyle name="Odd column" xfId="443"/>
    <cellStyle name="Odd column last row" xfId="444"/>
    <cellStyle name="Odd number" xfId="445"/>
    <cellStyle name="Odd number last row" xfId="446"/>
    <cellStyle name="Output 2" xfId="447"/>
    <cellStyle name="Output 2 2" xfId="448"/>
    <cellStyle name="Output 2 3" xfId="449"/>
    <cellStyle name="Output 2 3 2" xfId="450"/>
    <cellStyle name="Output 2 3 3" xfId="451"/>
    <cellStyle name="Output 2 4" xfId="452"/>
    <cellStyle name="Percent 2" xfId="453"/>
    <cellStyle name="Percent 2 2" xfId="454"/>
    <cellStyle name="Percent 2 2 2" xfId="455"/>
    <cellStyle name="Percent 2 2 3" xfId="456"/>
    <cellStyle name="Percent 2 3" xfId="457"/>
    <cellStyle name="Percent 2 4" xfId="458"/>
    <cellStyle name="Percent 2 5" xfId="459"/>
    <cellStyle name="Percent 3" xfId="460"/>
    <cellStyle name="Percent 4" xfId="461"/>
    <cellStyle name="Report Heading" xfId="462"/>
    <cellStyle name="Sheet Title" xfId="463"/>
    <cellStyle name="SOO Table Footnote" xfId="464"/>
    <cellStyle name="Table heading" xfId="465"/>
    <cellStyle name="Title 2" xfId="466"/>
    <cellStyle name="Total 2" xfId="467"/>
    <cellStyle name="Total 2 2" xfId="468"/>
    <cellStyle name="Total 2 3" xfId="469"/>
    <cellStyle name="Total 2 3 2" xfId="470"/>
    <cellStyle name="Total 2 3 3" xfId="471"/>
    <cellStyle name="Total 2 4" xfId="472"/>
    <cellStyle name="Warning Text 2" xfId="473"/>
    <cellStyle name="Warning Text 2 2" xfId="474"/>
    <cellStyle name="Warning Text 2 3" xfId="475"/>
    <cellStyle name="Warning Text 2 3 2" xfId="476"/>
    <cellStyle name="Warning Text 2 3 3" xfId="477"/>
    <cellStyle name="Warning Text 2 4" xfId="478"/>
  </cellStyles>
  <dxfs count="0"/>
  <tableStyles count="0" defaultTableStyle="TableStyleMedium2" defaultPivotStyle="PivotStyleLight16"/>
  <colors>
    <mruColors>
      <color rgb="FF1E4164"/>
      <color rgb="FF948671"/>
      <color rgb="FFD9D9D9"/>
      <color rgb="FFBFB6AA"/>
      <color rgb="FF5F5F5F"/>
      <color rgb="FFB2B2B2"/>
      <color rgb="FFFFDC73"/>
      <color rgb="FFF0F0F0"/>
      <color rgb="FFE9E9E9"/>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47"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'Figure 1'!$A$24</c:f>
              <c:strCache>
                <c:ptCount val="1"/>
                <c:pt idx="0">
                  <c:v>Natural Gas</c:v>
                </c:pt>
              </c:strCache>
            </c:strRef>
          </c:tx>
          <c:spPr>
            <a:solidFill>
              <a:srgbClr val="FFC22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'Figure 1'!$B$23:$C$23</c:f>
              <c:strCache>
                <c:ptCount val="2"/>
                <c:pt idx="0">
                  <c:v>Output (GWh)</c:v>
                </c:pt>
                <c:pt idx="1">
                  <c:v>Capacity (MW)</c:v>
                </c:pt>
              </c:strCache>
            </c:strRef>
          </c:cat>
          <c:val>
            <c:numRef>
              <c:f>'Figure 1'!$B$24:$C$24</c:f>
              <c:numCache>
                <c:formatCode>#,##0</c:formatCode>
                <c:ptCount val="2"/>
                <c:pt idx="0">
                  <c:v>4538</c:v>
                </c:pt>
                <c:pt idx="1">
                  <c:v>2668</c:v>
                </c:pt>
              </c:numCache>
            </c:numRef>
          </c:val>
        </c:ser>
        <c:ser>
          <c:idx val="1"/>
          <c:order val="1"/>
          <c:tx>
            <c:strRef>
              <c:f>'Figure 1'!$A$25</c:f>
              <c:strCache>
                <c:ptCount val="1"/>
                <c:pt idx="0">
                  <c:v>Wind</c:v>
                </c:pt>
              </c:strCache>
            </c:strRef>
          </c:tx>
          <c:spPr>
            <a:solidFill>
              <a:srgbClr val="ADE0E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'Figure 1'!$B$23:$C$23</c:f>
              <c:strCache>
                <c:ptCount val="2"/>
                <c:pt idx="0">
                  <c:v>Output (GWh)</c:v>
                </c:pt>
                <c:pt idx="1">
                  <c:v>Capacity (MW)</c:v>
                </c:pt>
              </c:strCache>
            </c:strRef>
          </c:cat>
          <c:val>
            <c:numRef>
              <c:f>'Figure 1'!$B$25:$C$25</c:f>
              <c:numCache>
                <c:formatCode>#,##0</c:formatCode>
                <c:ptCount val="2"/>
                <c:pt idx="0">
                  <c:v>4322</c:v>
                </c:pt>
                <c:pt idx="1">
                  <c:v>1576</c:v>
                </c:pt>
              </c:numCache>
            </c:numRef>
          </c:val>
        </c:ser>
        <c:ser>
          <c:idx val="2"/>
          <c:order val="2"/>
          <c:tx>
            <c:strRef>
              <c:f>'Figure 1'!$A$26</c:f>
              <c:strCache>
                <c:ptCount val="1"/>
                <c:pt idx="0">
                  <c:v>Coal</c:v>
                </c:pt>
              </c:strCache>
            </c:strRef>
          </c:tx>
          <c:spPr>
            <a:solidFill>
              <a:srgbClr val="F3742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'Figure 1'!$B$23:$C$23</c:f>
              <c:strCache>
                <c:ptCount val="2"/>
                <c:pt idx="0">
                  <c:v>Output (GWh)</c:v>
                </c:pt>
                <c:pt idx="1">
                  <c:v>Capacity (MW)</c:v>
                </c:pt>
              </c:strCache>
            </c:strRef>
          </c:cat>
          <c:val>
            <c:numRef>
              <c:f>'Figure 1'!$B$26:$C$26</c:f>
              <c:numCache>
                <c:formatCode>#,##0</c:formatCode>
                <c:ptCount val="2"/>
                <c:pt idx="0">
                  <c:v>2601</c:v>
                </c:pt>
                <c:pt idx="1">
                  <c:v>770</c:v>
                </c:pt>
              </c:numCache>
            </c:numRef>
          </c:val>
        </c:ser>
        <c:ser>
          <c:idx val="3"/>
          <c:order val="3"/>
          <c:tx>
            <c:strRef>
              <c:f>'Figure 1'!$A$27</c:f>
              <c:strCache>
                <c:ptCount val="1"/>
                <c:pt idx="0">
                  <c:v>Rooftop PV*</c:v>
                </c:pt>
              </c:strCache>
            </c:strRef>
          </c:tx>
          <c:spPr>
            <a:solidFill>
              <a:srgbClr val="1E416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'Figure 1'!$B$23:$C$23</c:f>
              <c:strCache>
                <c:ptCount val="2"/>
                <c:pt idx="0">
                  <c:v>Output (GWh)</c:v>
                </c:pt>
                <c:pt idx="1">
                  <c:v>Capacity (MW)</c:v>
                </c:pt>
              </c:strCache>
            </c:strRef>
          </c:cat>
          <c:val>
            <c:numRef>
              <c:f>'Figure 1'!$B$27:$C$27</c:f>
              <c:numCache>
                <c:formatCode>#,##0</c:formatCode>
                <c:ptCount val="2"/>
                <c:pt idx="0">
                  <c:v>938</c:v>
                </c:pt>
                <c:pt idx="1">
                  <c:v>679</c:v>
                </c:pt>
              </c:numCache>
            </c:numRef>
          </c:val>
        </c:ser>
        <c:ser>
          <c:idx val="4"/>
          <c:order val="4"/>
          <c:tx>
            <c:strRef>
              <c:f>'Figure 1'!$A$28</c:f>
              <c:strCache>
                <c:ptCount val="1"/>
                <c:pt idx="0">
                  <c:v>Diesel + SNSG**</c:v>
                </c:pt>
              </c:strCache>
            </c:strRef>
          </c:tx>
          <c:spPr>
            <a:solidFill>
              <a:srgbClr val="C41230"/>
            </a:solidFill>
            <a:ln>
              <a:noFill/>
            </a:ln>
            <a:effectLst/>
          </c:spPr>
          <c:invertIfNegative val="0"/>
          <c:dLbls>
            <c:dLbl>
              <c:idx val="0"/>
              <c:layout>
                <c:manualLayout>
                  <c:x val="1.4883304385584021E-2"/>
                  <c:y val="0.1763888888888889"/>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'Figure 1'!$B$23:$C$23</c:f>
              <c:strCache>
                <c:ptCount val="2"/>
                <c:pt idx="0">
                  <c:v>Output (GWh)</c:v>
                </c:pt>
                <c:pt idx="1">
                  <c:v>Capacity (MW)</c:v>
                </c:pt>
              </c:strCache>
            </c:strRef>
          </c:cat>
          <c:val>
            <c:numRef>
              <c:f>'Figure 1'!$B$28:$C$28</c:f>
              <c:numCache>
                <c:formatCode>#,##0</c:formatCode>
                <c:ptCount val="2"/>
                <c:pt idx="0">
                  <c:v>60</c:v>
                </c:pt>
                <c:pt idx="1">
                  <c:v>289</c:v>
                </c:pt>
              </c:numCache>
            </c:numRef>
          </c:val>
        </c:ser>
        <c:ser>
          <c:idx val="5"/>
          <c:order val="5"/>
          <c:tx>
            <c:strRef>
              <c:f>'Figure 1'!$A$29</c:f>
              <c:strCache>
                <c:ptCount val="1"/>
                <c:pt idx="0">
                  <c:v>Interconnector net imports</c:v>
                </c:pt>
              </c:strCache>
            </c:strRef>
          </c:tx>
          <c:spPr>
            <a:solidFill>
              <a:schemeClr val="accent3">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'Figure 1'!$B$23:$C$23</c:f>
              <c:strCache>
                <c:ptCount val="2"/>
                <c:pt idx="0">
                  <c:v>Output (GWh)</c:v>
                </c:pt>
                <c:pt idx="1">
                  <c:v>Capacity (MW)</c:v>
                </c:pt>
              </c:strCache>
            </c:strRef>
          </c:cat>
          <c:val>
            <c:numRef>
              <c:f>'Figure 1'!$B$29:$C$29</c:f>
              <c:numCache>
                <c:formatCode>#,##0</c:formatCode>
                <c:ptCount val="2"/>
                <c:pt idx="0">
                  <c:v>1941</c:v>
                </c:pt>
                <c:pt idx="1">
                  <c:v>680</c:v>
                </c:pt>
              </c:numCache>
            </c:numRef>
          </c:val>
        </c:ser>
        <c:dLbls>
          <c:dLblPos val="ctr"/>
          <c:showLegendKey val="0"/>
          <c:showVal val="1"/>
          <c:showCatName val="0"/>
          <c:showSerName val="0"/>
          <c:showPercent val="0"/>
          <c:showBubbleSize val="0"/>
        </c:dLbls>
        <c:gapWidth val="50"/>
        <c:overlap val="100"/>
        <c:axId val="194547904"/>
        <c:axId val="195712824"/>
      </c:barChart>
      <c:catAx>
        <c:axId val="194547904"/>
        <c:scaling>
          <c:orientation val="minMax"/>
        </c:scaling>
        <c:delete val="0"/>
        <c:axPos val="l"/>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5712824"/>
        <c:crosses val="autoZero"/>
        <c:auto val="1"/>
        <c:lblAlgn val="ctr"/>
        <c:lblOffset val="100"/>
        <c:noMultiLvlLbl val="0"/>
      </c:catAx>
      <c:valAx>
        <c:axId val="195712824"/>
        <c:scaling>
          <c:orientation val="minMax"/>
        </c:scaling>
        <c:delete val="0"/>
        <c:axPos val="b"/>
        <c:majorGridlines>
          <c:spPr>
            <a:ln w="9525" cap="flat" cmpd="sng" algn="ctr">
              <a:solidFill>
                <a:schemeClr val="bg2">
                  <a:lumMod val="9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4547904"/>
        <c:crosses val="autoZero"/>
        <c:crossBetween val="between"/>
        <c:maj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'Figure 2'!$A$24</c:f>
              <c:strCache>
                <c:ptCount val="1"/>
                <c:pt idx="0">
                  <c:v>Natural Gas</c:v>
                </c:pt>
              </c:strCache>
            </c:strRef>
          </c:tx>
          <c:spPr>
            <a:solidFill>
              <a:srgbClr val="FFC22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'Figure 2'!$B$23:$C$23</c:f>
              <c:strCache>
                <c:ptCount val="2"/>
                <c:pt idx="0">
                  <c:v>Output (GWh)</c:v>
                </c:pt>
                <c:pt idx="1">
                  <c:v>Capacity (MW)</c:v>
                </c:pt>
              </c:strCache>
            </c:strRef>
          </c:cat>
          <c:val>
            <c:numRef>
              <c:f>'Figure 2'!$B$24:$C$24</c:f>
              <c:numCache>
                <c:formatCode>#,##0</c:formatCode>
                <c:ptCount val="2"/>
                <c:pt idx="0">
                  <c:v>2374.393</c:v>
                </c:pt>
                <c:pt idx="1">
                  <c:v>2668</c:v>
                </c:pt>
              </c:numCache>
            </c:numRef>
          </c:val>
        </c:ser>
        <c:ser>
          <c:idx val="1"/>
          <c:order val="1"/>
          <c:tx>
            <c:strRef>
              <c:f>'Figure 2'!$A$25</c:f>
              <c:strCache>
                <c:ptCount val="1"/>
                <c:pt idx="0">
                  <c:v>Wind</c:v>
                </c:pt>
              </c:strCache>
            </c:strRef>
          </c:tx>
          <c:spPr>
            <a:solidFill>
              <a:srgbClr val="ADE0E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'Figure 2'!$B$23:$C$23</c:f>
              <c:strCache>
                <c:ptCount val="2"/>
                <c:pt idx="0">
                  <c:v>Output (GWh)</c:v>
                </c:pt>
                <c:pt idx="1">
                  <c:v>Capacity (MW)</c:v>
                </c:pt>
              </c:strCache>
            </c:strRef>
          </c:cat>
          <c:val>
            <c:numRef>
              <c:f>'Figure 2'!$B$25:$C$25</c:f>
              <c:numCache>
                <c:formatCode>#,##0</c:formatCode>
                <c:ptCount val="2"/>
                <c:pt idx="0">
                  <c:v>2415.9060000000004</c:v>
                </c:pt>
                <c:pt idx="1">
                  <c:v>1594.85</c:v>
                </c:pt>
              </c:numCache>
            </c:numRef>
          </c:val>
        </c:ser>
        <c:ser>
          <c:idx val="3"/>
          <c:order val="3"/>
          <c:tx>
            <c:strRef>
              <c:f>'Figure 2'!$A$27</c:f>
              <c:strCache>
                <c:ptCount val="1"/>
                <c:pt idx="0">
                  <c:v>Rooftop PV*</c:v>
                </c:pt>
              </c:strCache>
            </c:strRef>
          </c:tx>
          <c:spPr>
            <a:solidFill>
              <a:srgbClr val="1E416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'Figure 2'!$B$23:$C$23</c:f>
              <c:strCache>
                <c:ptCount val="2"/>
                <c:pt idx="0">
                  <c:v>Output (GWh)</c:v>
                </c:pt>
                <c:pt idx="1">
                  <c:v>Capacity (MW)</c:v>
                </c:pt>
              </c:strCache>
            </c:strRef>
          </c:cat>
          <c:val>
            <c:numRef>
              <c:f>'Figure 2'!$B$27:$C$27</c:f>
              <c:numCache>
                <c:formatCode>#,##0</c:formatCode>
                <c:ptCount val="2"/>
                <c:pt idx="0">
                  <c:v>503.46600000000001</c:v>
                </c:pt>
                <c:pt idx="1">
                  <c:v>701.87801024999999</c:v>
                </c:pt>
              </c:numCache>
            </c:numRef>
          </c:val>
        </c:ser>
        <c:ser>
          <c:idx val="4"/>
          <c:order val="4"/>
          <c:tx>
            <c:strRef>
              <c:f>'Figure 2'!$A$28</c:f>
              <c:strCache>
                <c:ptCount val="1"/>
                <c:pt idx="0">
                  <c:v>Diesel + SNSG**</c:v>
                </c:pt>
              </c:strCache>
            </c:strRef>
          </c:tx>
          <c:spPr>
            <a:solidFill>
              <a:srgbClr val="C41230"/>
            </a:solidFill>
            <a:ln>
              <a:noFill/>
            </a:ln>
            <a:effectLst/>
          </c:spPr>
          <c:invertIfNegative val="0"/>
          <c:dLbls>
            <c:dLbl>
              <c:idx val="0"/>
              <c:layout>
                <c:manualLayout>
                  <c:x val="3.0967397597336806E-2"/>
                  <c:y val="0.15875"/>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'Figure 2'!$B$23:$C$23</c:f>
              <c:strCache>
                <c:ptCount val="2"/>
                <c:pt idx="0">
                  <c:v>Output (GWh)</c:v>
                </c:pt>
                <c:pt idx="1">
                  <c:v>Capacity (MW)</c:v>
                </c:pt>
              </c:strCache>
            </c:strRef>
          </c:cat>
          <c:val>
            <c:numRef>
              <c:f>'Figure 2'!$B$28:$C$28</c:f>
              <c:numCache>
                <c:formatCode>#,##0</c:formatCode>
                <c:ptCount val="2"/>
                <c:pt idx="0">
                  <c:v>56.376524000000003</c:v>
                </c:pt>
                <c:pt idx="1">
                  <c:v>319.38500000000005</c:v>
                </c:pt>
              </c:numCache>
            </c:numRef>
          </c:val>
        </c:ser>
        <c:ser>
          <c:idx val="5"/>
          <c:order val="5"/>
          <c:tx>
            <c:strRef>
              <c:f>'Figure 2'!$A$29</c:f>
              <c:strCache>
                <c:ptCount val="1"/>
                <c:pt idx="0">
                  <c:v>Interconnector net imports</c:v>
                </c:pt>
              </c:strCache>
            </c:strRef>
          </c:tx>
          <c:spPr>
            <a:solidFill>
              <a:schemeClr val="accent3">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'Figure 2'!$B$23:$C$23</c:f>
              <c:strCache>
                <c:ptCount val="2"/>
                <c:pt idx="0">
                  <c:v>Output (GWh)</c:v>
                </c:pt>
                <c:pt idx="1">
                  <c:v>Capacity (MW)</c:v>
                </c:pt>
              </c:strCache>
            </c:strRef>
          </c:cat>
          <c:val>
            <c:numRef>
              <c:f>'Figure 2'!$B$29:$C$29</c:f>
              <c:numCache>
                <c:formatCode>#,##0</c:formatCode>
                <c:ptCount val="2"/>
                <c:pt idx="0">
                  <c:v>1479.779057</c:v>
                </c:pt>
                <c:pt idx="1">
                  <c:v>820</c:v>
                </c:pt>
              </c:numCache>
            </c:numRef>
          </c:val>
        </c:ser>
        <c:dLbls>
          <c:dLblPos val="ctr"/>
          <c:showLegendKey val="0"/>
          <c:showVal val="1"/>
          <c:showCatName val="0"/>
          <c:showSerName val="0"/>
          <c:showPercent val="0"/>
          <c:showBubbleSize val="0"/>
        </c:dLbls>
        <c:gapWidth val="50"/>
        <c:overlap val="100"/>
        <c:axId val="195460184"/>
        <c:axId val="194607944"/>
        <c:extLst>
          <c:ext xmlns:c15="http://schemas.microsoft.com/office/drawing/2012/chart" uri="{02D57815-91ED-43cb-92C2-25804820EDAC}">
            <c15:filteredBarSeries>
              <c15:ser>
                <c:idx val="2"/>
                <c:order val="2"/>
                <c:tx>
                  <c:strRef>
                    <c:extLst>
                      <c:ext uri="{02D57815-91ED-43cb-92C2-25804820EDAC}">
                        <c15:formulaRef>
                          <c15:sqref>'Figure 2'!$A$26</c15:sqref>
                        </c15:formulaRef>
                      </c:ext>
                    </c:extLst>
                    <c:strCache>
                      <c:ptCount val="1"/>
                      <c:pt idx="0">
                        <c:v>Coal</c:v>
                      </c:pt>
                    </c:strCache>
                  </c:strRef>
                </c:tx>
                <c:spPr>
                  <a:solidFill>
                    <a:srgbClr val="F3742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cat>
                  <c:strRef>
                    <c:extLst>
                      <c:ext uri="{02D57815-91ED-43cb-92C2-25804820EDAC}">
                        <c15:formulaRef>
                          <c15:sqref>'Figure 2'!$B$23:$C$23</c15:sqref>
                        </c15:formulaRef>
                      </c:ext>
                    </c:extLst>
                    <c:strCache>
                      <c:ptCount val="2"/>
                      <c:pt idx="0">
                        <c:v>Output (GWh)</c:v>
                      </c:pt>
                      <c:pt idx="1">
                        <c:v>Capacity (MW)</c:v>
                      </c:pt>
                    </c:strCache>
                  </c:strRef>
                </c:cat>
                <c:val>
                  <c:numRef>
                    <c:extLst>
                      <c:ext uri="{02D57815-91ED-43cb-92C2-25804820EDAC}">
                        <c15:formulaRef>
                          <c15:sqref>'Figure 2'!$B$26:$C$26</c15:sqref>
                        </c15:formulaRef>
                      </c:ext>
                    </c:extLst>
                    <c:numCache>
                      <c:formatCode>#,##0</c:formatCode>
                      <c:ptCount val="2"/>
                      <c:pt idx="0">
                        <c:v>0</c:v>
                      </c:pt>
                      <c:pt idx="1">
                        <c:v>0</c:v>
                      </c:pt>
                    </c:numCache>
                  </c:numRef>
                </c:val>
              </c15:ser>
            </c15:filteredBarSeries>
          </c:ext>
        </c:extLst>
      </c:barChart>
      <c:catAx>
        <c:axId val="195460184"/>
        <c:scaling>
          <c:orientation val="minMax"/>
        </c:scaling>
        <c:delete val="0"/>
        <c:axPos val="l"/>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4607944"/>
        <c:crosses val="autoZero"/>
        <c:auto val="1"/>
        <c:lblAlgn val="ctr"/>
        <c:lblOffset val="100"/>
        <c:noMultiLvlLbl val="0"/>
      </c:catAx>
      <c:valAx>
        <c:axId val="194607944"/>
        <c:scaling>
          <c:orientation val="minMax"/>
        </c:scaling>
        <c:delete val="0"/>
        <c:axPos val="b"/>
        <c:majorGridlines>
          <c:spPr>
            <a:ln w="9525" cap="flat" cmpd="sng" algn="ctr">
              <a:solidFill>
                <a:schemeClr val="bg2">
                  <a:lumMod val="9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5460184"/>
        <c:crosses val="autoZero"/>
        <c:crossBetween val="between"/>
        <c:maj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3'!$C$21</c:f>
              <c:strCache>
                <c:ptCount val="1"/>
                <c:pt idx="0">
                  <c:v>Advanced and committed</c:v>
                </c:pt>
              </c:strCache>
            </c:strRef>
          </c:tx>
          <c:spPr>
            <a:pattFill prst="dkUpDiag">
              <a:fgClr>
                <a:schemeClr val="accent2">
                  <a:lumMod val="60000"/>
                  <a:lumOff val="40000"/>
                </a:schemeClr>
              </a:fgClr>
              <a:bgClr>
                <a:schemeClr val="bg1"/>
              </a:bgClr>
            </a:pattFill>
            <a:ln>
              <a:noFill/>
            </a:ln>
            <a:effectLst/>
          </c:spPr>
          <c:invertIfNegative val="0"/>
          <c:dPt>
            <c:idx val="0"/>
            <c:invertIfNegative val="0"/>
            <c:bubble3D val="0"/>
            <c:spPr>
              <a:pattFill prst="dkUpDiag">
                <a:fgClr>
                  <a:schemeClr val="tx2">
                    <a:lumMod val="60000"/>
                    <a:lumOff val="40000"/>
                  </a:schemeClr>
                </a:fgClr>
                <a:bgClr>
                  <a:schemeClr val="bg1"/>
                </a:bgClr>
              </a:pattFill>
              <a:ln>
                <a:noFill/>
              </a:ln>
              <a:effectLst/>
            </c:spPr>
          </c:dPt>
          <c:dPt>
            <c:idx val="2"/>
            <c:invertIfNegative val="0"/>
            <c:bubble3D val="0"/>
            <c:spPr>
              <a:pattFill prst="dkUpDiag">
                <a:fgClr>
                  <a:schemeClr val="accent5">
                    <a:lumMod val="60000"/>
                    <a:lumOff val="40000"/>
                  </a:schemeClr>
                </a:fgClr>
                <a:bgClr>
                  <a:schemeClr val="bg1"/>
                </a:bgClr>
              </a:pattFill>
              <a:ln>
                <a:noFill/>
              </a:ln>
              <a:effectLst/>
            </c:spPr>
          </c:dPt>
          <c:dPt>
            <c:idx val="3"/>
            <c:invertIfNegative val="0"/>
            <c:bubble3D val="0"/>
            <c:spPr>
              <a:pattFill prst="dkUpDiag">
                <a:fgClr>
                  <a:srgbClr val="FFC000"/>
                </a:fgClr>
                <a:bgClr>
                  <a:schemeClr val="bg1"/>
                </a:bgClr>
              </a:pattFill>
              <a:ln>
                <a:noFill/>
              </a:ln>
              <a:effectLst/>
            </c:spPr>
          </c:dPt>
          <c:dPt>
            <c:idx val="9"/>
            <c:invertIfNegative val="0"/>
            <c:bubble3D val="0"/>
            <c:spPr>
              <a:pattFill prst="dkUpDiag">
                <a:fgClr>
                  <a:schemeClr val="accent5">
                    <a:lumMod val="60000"/>
                    <a:lumOff val="40000"/>
                  </a:schemeClr>
                </a:fgClr>
                <a:bgClr>
                  <a:schemeClr val="bg1"/>
                </a:bgClr>
              </a:pattFill>
              <a:ln>
                <a:noFill/>
              </a:ln>
              <a:effectLst/>
            </c:spPr>
          </c:dPt>
          <c:dPt>
            <c:idx val="10"/>
            <c:invertIfNegative val="0"/>
            <c:bubble3D val="0"/>
            <c:spPr>
              <a:pattFill prst="dkUpDiag">
                <a:fgClr>
                  <a:srgbClr val="FFC000"/>
                </a:fgClr>
                <a:bgClr>
                  <a:schemeClr val="bg1"/>
                </a:bgClr>
              </a:pattFill>
              <a:ln>
                <a:noFill/>
              </a:ln>
              <a:effectLst/>
            </c:spPr>
          </c:dPt>
          <c:dPt>
            <c:idx val="14"/>
            <c:invertIfNegative val="0"/>
            <c:bubble3D val="0"/>
            <c:spPr>
              <a:pattFill prst="dkUpDiag">
                <a:fgClr>
                  <a:schemeClr val="tx2">
                    <a:lumMod val="60000"/>
                    <a:lumOff val="40000"/>
                  </a:schemeClr>
                </a:fgClr>
                <a:bgClr>
                  <a:schemeClr val="bg1"/>
                </a:bgClr>
              </a:pattFill>
              <a:ln>
                <a:noFill/>
              </a:ln>
              <a:effectLst/>
            </c:spPr>
          </c:dPt>
          <c:dPt>
            <c:idx val="16"/>
            <c:invertIfNegative val="0"/>
            <c:bubble3D val="0"/>
            <c:spPr>
              <a:pattFill prst="dkUpDiag">
                <a:fgClr>
                  <a:schemeClr val="accent5">
                    <a:lumMod val="60000"/>
                    <a:lumOff val="40000"/>
                  </a:schemeClr>
                </a:fgClr>
                <a:bgClr>
                  <a:schemeClr val="bg1"/>
                </a:bgClr>
              </a:pattFill>
              <a:ln>
                <a:noFill/>
              </a:ln>
              <a:effectLst/>
            </c:spPr>
          </c:dPt>
          <c:dPt>
            <c:idx val="17"/>
            <c:invertIfNegative val="0"/>
            <c:bubble3D val="0"/>
            <c:spPr>
              <a:pattFill prst="dkUpDiag">
                <a:fgClr>
                  <a:srgbClr val="FFC000"/>
                </a:fgClr>
                <a:bgClr>
                  <a:schemeClr val="bg1"/>
                </a:bgClr>
              </a:pattFill>
              <a:ln>
                <a:noFill/>
              </a:ln>
              <a:effectLst/>
            </c:spPr>
          </c:dPt>
          <c:cat>
            <c:multiLvlStrRef>
              <c:f>'Figure 3'!$A$22:$B$40</c:f>
              <c:multiLvlStrCache>
                <c:ptCount val="19"/>
                <c:lvl>
                  <c:pt idx="0">
                    <c:v>QLD</c:v>
                  </c:pt>
                  <c:pt idx="1">
                    <c:v>NSW</c:v>
                  </c:pt>
                  <c:pt idx="2">
                    <c:v>VIC</c:v>
                  </c:pt>
                  <c:pt idx="3">
                    <c:v>SA</c:v>
                  </c:pt>
                  <c:pt idx="4">
                    <c:v>TAS</c:v>
                  </c:pt>
                  <c:pt idx="7">
                    <c:v>QLD</c:v>
                  </c:pt>
                  <c:pt idx="8">
                    <c:v>NSW</c:v>
                  </c:pt>
                  <c:pt idx="9">
                    <c:v>VIC</c:v>
                  </c:pt>
                  <c:pt idx="10">
                    <c:v>SA</c:v>
                  </c:pt>
                  <c:pt idx="11">
                    <c:v>TAS</c:v>
                  </c:pt>
                  <c:pt idx="14">
                    <c:v>QLD</c:v>
                  </c:pt>
                  <c:pt idx="15">
                    <c:v>NSW</c:v>
                  </c:pt>
                  <c:pt idx="16">
                    <c:v>VIC</c:v>
                  </c:pt>
                  <c:pt idx="17">
                    <c:v>SA</c:v>
                  </c:pt>
                  <c:pt idx="18">
                    <c:v>TAS</c:v>
                  </c:pt>
                </c:lvl>
                <c:lvl>
                  <c:pt idx="0">
                    <c:v>2014-15</c:v>
                  </c:pt>
                  <c:pt idx="7">
                    <c:v>2015-16</c:v>
                  </c:pt>
                  <c:pt idx="14">
                    <c:v>2016-17</c:v>
                  </c:pt>
                </c:lvl>
              </c:multiLvlStrCache>
            </c:multiLvlStrRef>
          </c:cat>
          <c:val>
            <c:numRef>
              <c:f>'Figure 3'!$C$22:$C$40</c:f>
              <c:numCache>
                <c:formatCode>#,##0</c:formatCode>
                <c:ptCount val="19"/>
                <c:pt idx="0">
                  <c:v>44</c:v>
                </c:pt>
                <c:pt idx="1">
                  <c:v>317.7</c:v>
                </c:pt>
                <c:pt idx="2">
                  <c:v>126.39999999999999</c:v>
                </c:pt>
                <c:pt idx="3">
                  <c:v>271</c:v>
                </c:pt>
                <c:pt idx="4">
                  <c:v>0</c:v>
                </c:pt>
                <c:pt idx="6" formatCode="General">
                  <c:v>0</c:v>
                </c:pt>
                <c:pt idx="7">
                  <c:v>0</c:v>
                </c:pt>
                <c:pt idx="8">
                  <c:v>69</c:v>
                </c:pt>
                <c:pt idx="9">
                  <c:v>259.8</c:v>
                </c:pt>
                <c:pt idx="10">
                  <c:v>270</c:v>
                </c:pt>
                <c:pt idx="11">
                  <c:v>0</c:v>
                </c:pt>
                <c:pt idx="13" formatCode="General">
                  <c:v>0</c:v>
                </c:pt>
                <c:pt idx="14">
                  <c:v>208.5</c:v>
                </c:pt>
                <c:pt idx="15">
                  <c:v>524.45499999999993</c:v>
                </c:pt>
                <c:pt idx="16">
                  <c:v>306</c:v>
                </c:pt>
                <c:pt idx="17">
                  <c:v>211.4</c:v>
                </c:pt>
                <c:pt idx="18">
                  <c:v>0</c:v>
                </c:pt>
              </c:numCache>
            </c:numRef>
          </c:val>
        </c:ser>
        <c:ser>
          <c:idx val="1"/>
          <c:order val="1"/>
          <c:tx>
            <c:strRef>
              <c:f>'Figure 3'!$D$21</c:f>
              <c:strCache>
                <c:ptCount val="1"/>
                <c:pt idx="0">
                  <c:v>Developed</c:v>
                </c:pt>
              </c:strCache>
            </c:strRef>
          </c:tx>
          <c:spPr>
            <a:solidFill>
              <a:schemeClr val="accent2"/>
            </a:solidFill>
            <a:ln>
              <a:noFill/>
            </a:ln>
            <a:effectLst/>
          </c:spPr>
          <c:invertIfNegative val="0"/>
          <c:dPt>
            <c:idx val="0"/>
            <c:invertIfNegative val="0"/>
            <c:bubble3D val="0"/>
            <c:spPr>
              <a:solidFill>
                <a:schemeClr val="accent2"/>
              </a:solidFill>
              <a:ln>
                <a:noFill/>
              </a:ln>
              <a:effectLst/>
            </c:spPr>
          </c:dPt>
          <c:dPt>
            <c:idx val="9"/>
            <c:invertIfNegative val="0"/>
            <c:bubble3D val="0"/>
            <c:spPr>
              <a:solidFill>
                <a:schemeClr val="accent5"/>
              </a:solidFill>
              <a:ln>
                <a:noFill/>
              </a:ln>
              <a:effectLst/>
            </c:spPr>
          </c:dPt>
          <c:dPt>
            <c:idx val="14"/>
            <c:invertIfNegative val="0"/>
            <c:bubble3D val="0"/>
            <c:spPr>
              <a:solidFill>
                <a:schemeClr val="accent2"/>
              </a:solidFill>
              <a:ln>
                <a:noFill/>
              </a:ln>
              <a:effectLst/>
            </c:spPr>
          </c:dPt>
          <c:dPt>
            <c:idx val="16"/>
            <c:invertIfNegative val="0"/>
            <c:bubble3D val="0"/>
            <c:spPr>
              <a:solidFill>
                <a:schemeClr val="accent5"/>
              </a:solidFill>
              <a:ln>
                <a:noFill/>
              </a:ln>
              <a:effectLst/>
            </c:spPr>
          </c:dPt>
          <c:dPt>
            <c:idx val="17"/>
            <c:invertIfNegative val="0"/>
            <c:bubble3D val="0"/>
            <c:spPr>
              <a:solidFill>
                <a:srgbClr val="FFC000"/>
              </a:solidFill>
              <a:ln>
                <a:noFill/>
              </a:ln>
              <a:effectLst/>
            </c:spPr>
          </c:dPt>
          <c:cat>
            <c:multiLvlStrRef>
              <c:f>'Figure 3'!$A$22:$B$40</c:f>
              <c:multiLvlStrCache>
                <c:ptCount val="19"/>
                <c:lvl>
                  <c:pt idx="0">
                    <c:v>QLD</c:v>
                  </c:pt>
                  <c:pt idx="1">
                    <c:v>NSW</c:v>
                  </c:pt>
                  <c:pt idx="2">
                    <c:v>VIC</c:v>
                  </c:pt>
                  <c:pt idx="3">
                    <c:v>SA</c:v>
                  </c:pt>
                  <c:pt idx="4">
                    <c:v>TAS</c:v>
                  </c:pt>
                  <c:pt idx="7">
                    <c:v>QLD</c:v>
                  </c:pt>
                  <c:pt idx="8">
                    <c:v>NSW</c:v>
                  </c:pt>
                  <c:pt idx="9">
                    <c:v>VIC</c:v>
                  </c:pt>
                  <c:pt idx="10">
                    <c:v>SA</c:v>
                  </c:pt>
                  <c:pt idx="11">
                    <c:v>TAS</c:v>
                  </c:pt>
                  <c:pt idx="14">
                    <c:v>QLD</c:v>
                  </c:pt>
                  <c:pt idx="15">
                    <c:v>NSW</c:v>
                  </c:pt>
                  <c:pt idx="16">
                    <c:v>VIC</c:v>
                  </c:pt>
                  <c:pt idx="17">
                    <c:v>SA</c:v>
                  </c:pt>
                  <c:pt idx="18">
                    <c:v>TAS</c:v>
                  </c:pt>
                </c:lvl>
                <c:lvl>
                  <c:pt idx="0">
                    <c:v>2014-15</c:v>
                  </c:pt>
                  <c:pt idx="7">
                    <c:v>2015-16</c:v>
                  </c:pt>
                  <c:pt idx="14">
                    <c:v>2016-17</c:v>
                  </c:pt>
                </c:lvl>
              </c:multiLvlStrCache>
            </c:multiLvlStrRef>
          </c:cat>
          <c:val>
            <c:numRef>
              <c:f>'Figure 3'!$D$22:$D$40</c:f>
              <c:numCache>
                <c:formatCode>#,##0</c:formatCode>
                <c:ptCount val="19"/>
                <c:pt idx="0">
                  <c:v>0</c:v>
                </c:pt>
                <c:pt idx="1">
                  <c:v>0</c:v>
                </c:pt>
                <c:pt idx="2">
                  <c:v>0</c:v>
                </c:pt>
                <c:pt idx="3">
                  <c:v>0</c:v>
                </c:pt>
                <c:pt idx="4">
                  <c:v>0</c:v>
                </c:pt>
                <c:pt idx="6" formatCode="General">
                  <c:v>0</c:v>
                </c:pt>
                <c:pt idx="7">
                  <c:v>0</c:v>
                </c:pt>
                <c:pt idx="8">
                  <c:v>261.7</c:v>
                </c:pt>
                <c:pt idx="9">
                  <c:v>106.6</c:v>
                </c:pt>
                <c:pt idx="10">
                  <c:v>0</c:v>
                </c:pt>
                <c:pt idx="11">
                  <c:v>0</c:v>
                </c:pt>
                <c:pt idx="13" formatCode="General">
                  <c:v>0</c:v>
                </c:pt>
                <c:pt idx="15">
                  <c:v>56</c:v>
                </c:pt>
                <c:pt idx="16">
                  <c:v>19.8</c:v>
                </c:pt>
                <c:pt idx="17">
                  <c:v>102.4</c:v>
                </c:pt>
                <c:pt idx="18">
                  <c:v>0</c:v>
                </c:pt>
              </c:numCache>
            </c:numRef>
          </c:val>
        </c:ser>
        <c:dLbls>
          <c:showLegendKey val="0"/>
          <c:showVal val="0"/>
          <c:showCatName val="0"/>
          <c:showSerName val="0"/>
          <c:showPercent val="0"/>
          <c:showBubbleSize val="0"/>
        </c:dLbls>
        <c:gapWidth val="25"/>
        <c:overlap val="100"/>
        <c:axId val="193981920"/>
        <c:axId val="193978880"/>
      </c:barChart>
      <c:catAx>
        <c:axId val="193981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3978880"/>
        <c:crosses val="autoZero"/>
        <c:auto val="1"/>
        <c:lblAlgn val="ctr"/>
        <c:lblOffset val="100"/>
        <c:noMultiLvlLbl val="0"/>
      </c:catAx>
      <c:valAx>
        <c:axId val="193978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r>
                  <a:rPr lang="en-AU" sz="900" b="1"/>
                  <a:t>Nameplate</a:t>
                </a:r>
                <a:r>
                  <a:rPr lang="en-AU" sz="900" b="1" baseline="0"/>
                  <a:t> Capacity (MW)</a:t>
                </a:r>
                <a:endParaRPr lang="en-AU" sz="900" b="1"/>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3981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076744012560187E-2"/>
          <c:y val="2.2962146482386536E-2"/>
          <c:w val="0.78961089998578959"/>
          <c:h val="0.83788461595357999"/>
        </c:manualLayout>
      </c:layout>
      <c:barChart>
        <c:barDir val="col"/>
        <c:grouping val="stacked"/>
        <c:varyColors val="0"/>
        <c:ser>
          <c:idx val="8"/>
          <c:order val="0"/>
          <c:tx>
            <c:strRef>
              <c:f>'Figure 6'!$A$22</c:f>
              <c:strCache>
                <c:ptCount val="1"/>
                <c:pt idx="0">
                  <c:v>GPG Shortfalls</c:v>
                </c:pt>
              </c:strCache>
            </c:strRef>
          </c:tx>
          <c:spPr>
            <a:solidFill>
              <a:srgbClr val="1E4164"/>
            </a:solidFill>
            <a:ln w="25400">
              <a:noFill/>
            </a:ln>
            <a:effectLst/>
          </c:spPr>
          <c:invertIfNegative val="0"/>
          <c:cat>
            <c:numRef>
              <c:f>'Figure 6'!$B$21:$U$21</c:f>
              <c:numCache>
                <c:formatCode>General</c:formatCode>
                <c:ptCount val="20"/>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numCache>
            </c:numRef>
          </c:cat>
          <c:val>
            <c:numRef>
              <c:f>'Figure 6'!$B$22:$U$22</c:f>
              <c:numCache>
                <c:formatCode>#,##0</c:formatCode>
                <c:ptCount val="20"/>
                <c:pt idx="0">
                  <c:v>0</c:v>
                </c:pt>
                <c:pt idx="1">
                  <c:v>0</c:v>
                </c:pt>
                <c:pt idx="2">
                  <c:v>23109.790909919997</c:v>
                </c:pt>
                <c:pt idx="3">
                  <c:v>14090.95142519999</c:v>
                </c:pt>
                <c:pt idx="4">
                  <c:v>36821.94478415999</c:v>
                </c:pt>
                <c:pt idx="5">
                  <c:v>19306.266459840001</c:v>
                </c:pt>
                <c:pt idx="6">
                  <c:v>4251.6883783200001</c:v>
                </c:pt>
                <c:pt idx="7">
                  <c:v>4352.9503617599994</c:v>
                </c:pt>
                <c:pt idx="8">
                  <c:v>0</c:v>
                </c:pt>
                <c:pt idx="9">
                  <c:v>0</c:v>
                </c:pt>
                <c:pt idx="10">
                  <c:v>0</c:v>
                </c:pt>
                <c:pt idx="11">
                  <c:v>0</c:v>
                </c:pt>
                <c:pt idx="12">
                  <c:v>0</c:v>
                </c:pt>
                <c:pt idx="13">
                  <c:v>0</c:v>
                </c:pt>
                <c:pt idx="14">
                  <c:v>0</c:v>
                </c:pt>
                <c:pt idx="15">
                  <c:v>0</c:v>
                </c:pt>
                <c:pt idx="16">
                  <c:v>0</c:v>
                </c:pt>
                <c:pt idx="17">
                  <c:v>0</c:v>
                </c:pt>
                <c:pt idx="18">
                  <c:v>0</c:v>
                </c:pt>
                <c:pt idx="19">
                  <c:v>0</c:v>
                </c:pt>
              </c:numCache>
            </c:numRef>
          </c:val>
        </c:ser>
        <c:dLbls>
          <c:showLegendKey val="0"/>
          <c:showVal val="0"/>
          <c:showCatName val="0"/>
          <c:showSerName val="0"/>
          <c:showPercent val="0"/>
          <c:showBubbleSize val="0"/>
        </c:dLbls>
        <c:gapWidth val="25"/>
        <c:overlap val="100"/>
        <c:axId val="194932232"/>
        <c:axId val="196046232"/>
      </c:barChart>
      <c:lineChart>
        <c:grouping val="standard"/>
        <c:varyColors val="0"/>
        <c:ser>
          <c:idx val="0"/>
          <c:order val="1"/>
          <c:tx>
            <c:strRef>
              <c:f>'Figure 6'!$A$23</c:f>
              <c:strCache>
                <c:ptCount val="1"/>
                <c:pt idx="0">
                  <c:v>Gas Demand</c:v>
                </c:pt>
              </c:strCache>
            </c:strRef>
          </c:tx>
          <c:spPr>
            <a:ln w="22225" cap="rnd">
              <a:solidFill>
                <a:srgbClr val="948671"/>
              </a:solidFill>
              <a:round/>
            </a:ln>
            <a:effectLst/>
          </c:spPr>
          <c:marker>
            <c:symbol val="none"/>
          </c:marker>
          <c:val>
            <c:numRef>
              <c:f>'Figure 6'!$B$23:$U$23</c:f>
              <c:numCache>
                <c:formatCode>#,##0</c:formatCode>
                <c:ptCount val="20"/>
                <c:pt idx="0">
                  <c:v>85443.987073919998</c:v>
                </c:pt>
                <c:pt idx="1">
                  <c:v>80938.580648160001</c:v>
                </c:pt>
                <c:pt idx="2">
                  <c:v>75663.470312160003</c:v>
                </c:pt>
                <c:pt idx="3">
                  <c:v>70198.945991279994</c:v>
                </c:pt>
                <c:pt idx="4">
                  <c:v>71342.814337200005</c:v>
                </c:pt>
                <c:pt idx="5">
                  <c:v>72827.151825120003</c:v>
                </c:pt>
                <c:pt idx="6">
                  <c:v>73771.530020160004</c:v>
                </c:pt>
                <c:pt idx="7">
                  <c:v>72734.244201839902</c:v>
                </c:pt>
                <c:pt idx="8">
                  <c:v>72907.259955119996</c:v>
                </c:pt>
                <c:pt idx="9">
                  <c:v>73999.797211440004</c:v>
                </c:pt>
                <c:pt idx="10">
                  <c:v>75902.380309440006</c:v>
                </c:pt>
                <c:pt idx="11">
                  <c:v>76673.015440319898</c:v>
                </c:pt>
                <c:pt idx="12">
                  <c:v>77050.034255519902</c:v>
                </c:pt>
                <c:pt idx="13">
                  <c:v>78335.442312479994</c:v>
                </c:pt>
                <c:pt idx="14">
                  <c:v>78906.725601600003</c:v>
                </c:pt>
                <c:pt idx="15">
                  <c:v>79703.681959199996</c:v>
                </c:pt>
                <c:pt idx="16">
                  <c:v>80540.0705112</c:v>
                </c:pt>
                <c:pt idx="17">
                  <c:v>81218.101158239995</c:v>
                </c:pt>
                <c:pt idx="18">
                  <c:v>81061.098848399997</c:v>
                </c:pt>
                <c:pt idx="19">
                  <c:v>82389.713343359996</c:v>
                </c:pt>
              </c:numCache>
            </c:numRef>
          </c:val>
          <c:smooth val="0"/>
        </c:ser>
        <c:dLbls>
          <c:showLegendKey val="0"/>
          <c:showVal val="0"/>
          <c:showCatName val="0"/>
          <c:showSerName val="0"/>
          <c:showPercent val="0"/>
          <c:showBubbleSize val="0"/>
        </c:dLbls>
        <c:marker val="1"/>
        <c:smooth val="0"/>
        <c:axId val="194932232"/>
        <c:axId val="196046232"/>
      </c:lineChart>
      <c:catAx>
        <c:axId val="194932232"/>
        <c:scaling>
          <c:orientation val="minMax"/>
        </c:scaling>
        <c:delete val="0"/>
        <c:axPos val="b"/>
        <c:numFmt formatCode="General" sourceLinked="1"/>
        <c:majorTickMark val="out"/>
        <c:minorTickMark val="none"/>
        <c:tickLblPos val="nextTo"/>
        <c:spPr>
          <a:noFill/>
          <a:ln w="6350" cap="flat" cmpd="sng" algn="ctr">
            <a:solidFill>
              <a:srgbClr val="948671"/>
            </a:solidFill>
            <a:prstDash val="solid"/>
            <a:round/>
          </a:ln>
          <a:effectLst/>
        </c:spPr>
        <c:txPr>
          <a:bodyPr rot="2700000" spcFirstLastPara="1" vertOverflow="ellipsis"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6046232"/>
        <c:crosses val="autoZero"/>
        <c:auto val="1"/>
        <c:lblAlgn val="ctr"/>
        <c:lblOffset val="100"/>
        <c:noMultiLvlLbl val="0"/>
      </c:catAx>
      <c:valAx>
        <c:axId val="196046232"/>
        <c:scaling>
          <c:orientation val="minMax"/>
        </c:scaling>
        <c:delete val="0"/>
        <c:axPos val="l"/>
        <c:majorGridlines>
          <c:spPr>
            <a:ln w="9525" cap="flat" cmpd="sng" algn="ctr">
              <a:solidFill>
                <a:srgbClr val="D9D9D9"/>
              </a:solidFill>
              <a:prstDash val="solid"/>
              <a:round/>
            </a:ln>
            <a:effectLst/>
          </c:spPr>
        </c:majorGridlines>
        <c:title>
          <c:tx>
            <c:rich>
              <a:bodyPr rot="-54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r>
                  <a:rPr lang="en-US" b="1"/>
                  <a:t>South Australian Gas Demand and Shortfalls (PJ)</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 sourceLinked="0"/>
        <c:majorTickMark val="out"/>
        <c:minorTickMark val="none"/>
        <c:tickLblPos val="nextTo"/>
        <c:spPr>
          <a:noFill/>
          <a:ln w="6350">
            <a:no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493223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25400" cap="flat" cmpd="sng" algn="ctr">
      <a:noFill/>
      <a:round/>
    </a:ln>
    <a:effectLst/>
  </c:spPr>
  <c:txPr>
    <a:bodyPr/>
    <a:lstStyle/>
    <a:p>
      <a:pPr>
        <a:defRPr sz="9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12"/>
          <c:order val="0"/>
          <c:tx>
            <c:strRef>
              <c:f>'Figure 21'!$V$4</c:f>
              <c:strCache>
                <c:ptCount val="1"/>
                <c:pt idx="0">
                  <c:v>Wind (200 MW)</c:v>
                </c:pt>
              </c:strCache>
            </c:strRef>
          </c:tx>
          <c:spPr>
            <a:ln w="19050" cap="rnd">
              <a:solidFill>
                <a:srgbClr val="F37321"/>
              </a:solidFill>
              <a:round/>
            </a:ln>
            <a:effectLst/>
          </c:spPr>
          <c:marker>
            <c:symbol val="none"/>
          </c:marker>
          <c:xVal>
            <c:numRef>
              <c:f>'Figure 21'!$K$5:$K$95</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xVal>
          <c:yVal>
            <c:numRef>
              <c:f>'Figure 21'!$V$5:$V$95</c:f>
              <c:numCache>
                <c:formatCode>#,##0</c:formatCode>
                <c:ptCount val="91"/>
                <c:pt idx="0">
                  <c:v>338823.76554991998</c:v>
                </c:pt>
                <c:pt idx="1">
                  <c:v>3359.1421226900002</c:v>
                </c:pt>
                <c:pt idx="2">
                  <c:v>1690.16592851</c:v>
                </c:pt>
                <c:pt idx="3">
                  <c:v>1130.1440238600001</c:v>
                </c:pt>
                <c:pt idx="4">
                  <c:v>849.43478997</c:v>
                </c:pt>
                <c:pt idx="5">
                  <c:v>680.78513095000005</c:v>
                </c:pt>
                <c:pt idx="6">
                  <c:v>568.25848656999995</c:v>
                </c:pt>
                <c:pt idx="7">
                  <c:v>487.83644815000002</c:v>
                </c:pt>
                <c:pt idx="8">
                  <c:v>427.49481940999999</c:v>
                </c:pt>
                <c:pt idx="9">
                  <c:v>380.5475586</c:v>
                </c:pt>
                <c:pt idx="10">
                  <c:v>342.98036989000002</c:v>
                </c:pt>
                <c:pt idx="11">
                  <c:v>312.23737532000001</c:v>
                </c:pt>
                <c:pt idx="12">
                  <c:v>286.61394688000001</c:v>
                </c:pt>
                <c:pt idx="13">
                  <c:v>264.92955432999997</c:v>
                </c:pt>
                <c:pt idx="14">
                  <c:v>246.34072098999999</c:v>
                </c:pt>
                <c:pt idx="15">
                  <c:v>230.22874757</c:v>
                </c:pt>
                <c:pt idx="16">
                  <c:v>216.12951285</c:v>
                </c:pt>
                <c:pt idx="17">
                  <c:v>203.68803647999999</c:v>
                </c:pt>
                <c:pt idx="18">
                  <c:v>192.62817881999999</c:v>
                </c:pt>
                <c:pt idx="19">
                  <c:v>182.73190428000001</c:v>
                </c:pt>
                <c:pt idx="20">
                  <c:v>173.82476262</c:v>
                </c:pt>
                <c:pt idx="21">
                  <c:v>165.76551642000001</c:v>
                </c:pt>
                <c:pt idx="22">
                  <c:v>158.43859610000001</c:v>
                </c:pt>
                <c:pt idx="23">
                  <c:v>151.74852239000001</c:v>
                </c:pt>
                <c:pt idx="24">
                  <c:v>145.61572262999999</c:v>
                </c:pt>
                <c:pt idx="25">
                  <c:v>139.97335067</c:v>
                </c:pt>
                <c:pt idx="26">
                  <c:v>134.76484045000001</c:v>
                </c:pt>
                <c:pt idx="27">
                  <c:v>129.94200296</c:v>
                </c:pt>
                <c:pt idx="28">
                  <c:v>125.46353087999999</c:v>
                </c:pt>
                <c:pt idx="29">
                  <c:v>121.29381247000001</c:v>
                </c:pt>
                <c:pt idx="30">
                  <c:v>117.40198267</c:v>
                </c:pt>
                <c:pt idx="31">
                  <c:v>113.76115768</c:v>
                </c:pt>
                <c:pt idx="32">
                  <c:v>110.34781319</c:v>
                </c:pt>
                <c:pt idx="33">
                  <c:v>107.14127535</c:v>
                </c:pt>
                <c:pt idx="34">
                  <c:v>104.12330196000001</c:v>
                </c:pt>
                <c:pt idx="35">
                  <c:v>101.27773492999999</c:v>
                </c:pt>
                <c:pt idx="36">
                  <c:v>98.59021104</c:v>
                </c:pt>
                <c:pt idx="37">
                  <c:v>96.047919460000003</c:v>
                </c:pt>
                <c:pt idx="38">
                  <c:v>93.639397509999995</c:v>
                </c:pt>
                <c:pt idx="39">
                  <c:v>91.354357840000006</c:v>
                </c:pt>
                <c:pt idx="40">
                  <c:v>89.183541599999998</c:v>
                </c:pt>
                <c:pt idx="41">
                  <c:v>87.118593009999998</c:v>
                </c:pt>
                <c:pt idx="42">
                  <c:v>85.1519519</c:v>
                </c:pt>
              </c:numCache>
            </c:numRef>
          </c:yVal>
          <c:smooth val="0"/>
        </c:ser>
        <c:ser>
          <c:idx val="0"/>
          <c:order val="1"/>
          <c:tx>
            <c:strRef>
              <c:f>'Figure 21'!$L$4</c:f>
              <c:strCache>
                <c:ptCount val="1"/>
                <c:pt idx="0">
                  <c:v>Biomass</c:v>
                </c:pt>
              </c:strCache>
            </c:strRef>
          </c:tx>
          <c:spPr>
            <a:ln w="19050" cap="rnd">
              <a:solidFill>
                <a:srgbClr val="FFC222"/>
              </a:solidFill>
              <a:round/>
            </a:ln>
            <a:effectLst/>
          </c:spPr>
          <c:marker>
            <c:symbol val="none"/>
          </c:marker>
          <c:xVal>
            <c:numRef>
              <c:f>'Figure 21'!$K$5:$K$95</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xVal>
          <c:yVal>
            <c:numRef>
              <c:f>'Figure 21'!$L$5:$L$95</c:f>
              <c:numCache>
                <c:formatCode>#,##0</c:formatCode>
                <c:ptCount val="91"/>
                <c:pt idx="0">
                  <c:v>787399.08269441</c:v>
                </c:pt>
                <c:pt idx="1">
                  <c:v>7803.9389929199997</c:v>
                </c:pt>
                <c:pt idx="2">
                  <c:v>3925.36234178</c:v>
                </c:pt>
                <c:pt idx="3">
                  <c:v>2623.9130555000002</c:v>
                </c:pt>
                <c:pt idx="4">
                  <c:v>1971.5656565500001</c:v>
                </c:pt>
                <c:pt idx="5">
                  <c:v>1579.63638356</c:v>
                </c:pt>
                <c:pt idx="6">
                  <c:v>1318.1328243999999</c:v>
                </c:pt>
                <c:pt idx="7">
                  <c:v>1131.2379842600001</c:v>
                </c:pt>
                <c:pt idx="8">
                  <c:v>991.00852302999999</c:v>
                </c:pt>
                <c:pt idx="9">
                  <c:v>881.90657805000001</c:v>
                </c:pt>
                <c:pt idx="10">
                  <c:v>794.60322330999998</c:v>
                </c:pt>
                <c:pt idx="11">
                  <c:v>723.15878887999997</c:v>
                </c:pt>
                <c:pt idx="12">
                  <c:v>663.61184561000005</c:v>
                </c:pt>
                <c:pt idx="13">
                  <c:v>613.21892875000003</c:v>
                </c:pt>
                <c:pt idx="14">
                  <c:v>570.01986166999995</c:v>
                </c:pt>
                <c:pt idx="15">
                  <c:v>532.57683285999997</c:v>
                </c:pt>
                <c:pt idx="16">
                  <c:v>499.81125928</c:v>
                </c:pt>
                <c:pt idx="17">
                  <c:v>470.89819283999998</c:v>
                </c:pt>
                <c:pt idx="18">
                  <c:v>445.19590564999999</c:v>
                </c:pt>
                <c:pt idx="19">
                  <c:v>422.19769910999997</c:v>
                </c:pt>
                <c:pt idx="20">
                  <c:v>401.49816386999998</c:v>
                </c:pt>
                <c:pt idx="21">
                  <c:v>382.76907463999999</c:v>
                </c:pt>
                <c:pt idx="22">
                  <c:v>365.74185640000002</c:v>
                </c:pt>
                <c:pt idx="23">
                  <c:v>350.19462227999998</c:v>
                </c:pt>
                <c:pt idx="24">
                  <c:v>335.94245139999998</c:v>
                </c:pt>
                <c:pt idx="25">
                  <c:v>322.82999833000002</c:v>
                </c:pt>
                <c:pt idx="26">
                  <c:v>310.72580768</c:v>
                </c:pt>
                <c:pt idx="27">
                  <c:v>299.51789184</c:v>
                </c:pt>
                <c:pt idx="28">
                  <c:v>289.11025554999998</c:v>
                </c:pt>
                <c:pt idx="29">
                  <c:v>279.42013987000001</c:v>
                </c:pt>
                <c:pt idx="30">
                  <c:v>270.37581668000001</c:v>
                </c:pt>
                <c:pt idx="31">
                  <c:v>261.91480999999999</c:v>
                </c:pt>
                <c:pt idx="32">
                  <c:v>253.98245102999999</c:v>
                </c:pt>
                <c:pt idx="33">
                  <c:v>246.53069546</c:v>
                </c:pt>
                <c:pt idx="34">
                  <c:v>239.51714956999999</c:v>
                </c:pt>
                <c:pt idx="35">
                  <c:v>232.90426328999999</c:v>
                </c:pt>
                <c:pt idx="36">
                  <c:v>226.65865751999999</c:v>
                </c:pt>
                <c:pt idx="37">
                  <c:v>220.75056083000001</c:v>
                </c:pt>
                <c:pt idx="38">
                  <c:v>215.15333483000001</c:v>
                </c:pt>
                <c:pt idx="39">
                  <c:v>209.84307246</c:v>
                </c:pt>
                <c:pt idx="40">
                  <c:v>204.79825686000001</c:v>
                </c:pt>
                <c:pt idx="41">
                  <c:v>199.99946979000001</c:v>
                </c:pt>
                <c:pt idx="42">
                  <c:v>195.42914202</c:v>
                </c:pt>
                <c:pt idx="43">
                  <c:v>191.07133820999999</c:v>
                </c:pt>
                <c:pt idx="44">
                  <c:v>186.91157139000001</c:v>
                </c:pt>
                <c:pt idx="45">
                  <c:v>182.93664200000001</c:v>
                </c:pt>
                <c:pt idx="46">
                  <c:v>179.13449807999999</c:v>
                </c:pt>
                <c:pt idx="47">
                  <c:v>175.49411308000001</c:v>
                </c:pt>
                <c:pt idx="48">
                  <c:v>172.00537922000001</c:v>
                </c:pt>
                <c:pt idx="49">
                  <c:v>168.65901360000001</c:v>
                </c:pt>
                <c:pt idx="50">
                  <c:v>165.44647581999999</c:v>
                </c:pt>
                <c:pt idx="51">
                  <c:v>162.35989523000001</c:v>
                </c:pt>
                <c:pt idx="52">
                  <c:v>159.39200646</c:v>
                </c:pt>
                <c:pt idx="53">
                  <c:v>156.53609236</c:v>
                </c:pt>
                <c:pt idx="54">
                  <c:v>153.78593326999999</c:v>
                </c:pt>
                <c:pt idx="55">
                  <c:v>151.13576179</c:v>
                </c:pt>
                <c:pt idx="56">
                  <c:v>148.58022238000001</c:v>
                </c:pt>
                <c:pt idx="57">
                  <c:v>146.11433529999999</c:v>
                </c:pt>
                <c:pt idx="58">
                  <c:v>143.73346416000001</c:v>
                </c:pt>
                <c:pt idx="59">
                  <c:v>141.43328682999999</c:v>
                </c:pt>
                <c:pt idx="60">
                  <c:v>139.2097693</c:v>
                </c:pt>
                <c:pt idx="61">
                  <c:v>137.05914204000001</c:v>
                </c:pt>
                <c:pt idx="62">
                  <c:v>134.97787865000001</c:v>
                </c:pt>
                <c:pt idx="63">
                  <c:v>132.96267664999999</c:v>
                </c:pt>
                <c:pt idx="64">
                  <c:v>131.01043985999999</c:v>
                </c:pt>
                <c:pt idx="65">
                  <c:v>129.11826266</c:v>
                </c:pt>
                <c:pt idx="66">
                  <c:v>127.28341546999999</c:v>
                </c:pt>
                <c:pt idx="67">
                  <c:v>125.50333166999999</c:v>
                </c:pt>
                <c:pt idx="68">
                  <c:v>123.77559558</c:v>
                </c:pt>
                <c:pt idx="69">
                  <c:v>122.09793153</c:v>
                </c:pt>
                <c:pt idx="70">
                  <c:v>120.4681939</c:v>
                </c:pt>
              </c:numCache>
            </c:numRef>
          </c:yVal>
          <c:smooth val="0"/>
        </c:ser>
        <c:ser>
          <c:idx val="2"/>
          <c:order val="2"/>
          <c:tx>
            <c:strRef>
              <c:f>'Figure 21'!$N$4</c:f>
              <c:strCache>
                <c:ptCount val="1"/>
                <c:pt idx="0">
                  <c:v>Geothermal - Enhanced Geothermal System (EGS)</c:v>
                </c:pt>
              </c:strCache>
            </c:strRef>
          </c:tx>
          <c:spPr>
            <a:ln w="19050" cap="rnd">
              <a:solidFill>
                <a:srgbClr val="ADE0EE"/>
              </a:solidFill>
              <a:round/>
            </a:ln>
            <a:effectLst/>
          </c:spPr>
          <c:marker>
            <c:symbol val="none"/>
          </c:marker>
          <c:xVal>
            <c:numRef>
              <c:f>'Figure 21'!$K$5:$K$95</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xVal>
          <c:yVal>
            <c:numRef>
              <c:f>'Figure 21'!$N$5:$N$95</c:f>
            </c:numRef>
          </c:yVal>
          <c:smooth val="0"/>
        </c:ser>
        <c:ser>
          <c:idx val="3"/>
          <c:order val="3"/>
          <c:tx>
            <c:strRef>
              <c:f>'Figure 21'!$O$4</c:f>
              <c:strCache>
                <c:ptCount val="1"/>
                <c:pt idx="0">
                  <c:v>Geothermal - Hot Sedimentary Aquifers (HSA)</c:v>
                </c:pt>
              </c:strCache>
            </c:strRef>
          </c:tx>
          <c:spPr>
            <a:ln w="19050" cap="rnd">
              <a:solidFill>
                <a:srgbClr val="C41230"/>
              </a:solidFill>
              <a:round/>
            </a:ln>
            <a:effectLst/>
          </c:spPr>
          <c:marker>
            <c:symbol val="none"/>
          </c:marker>
          <c:xVal>
            <c:numRef>
              <c:f>'Figure 21'!$K$5:$K$95</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xVal>
          <c:yVal>
            <c:numRef>
              <c:f>'Figure 21'!$O$5:$O$95</c:f>
            </c:numRef>
          </c:yVal>
          <c:smooth val="0"/>
        </c:ser>
        <c:ser>
          <c:idx val="6"/>
          <c:order val="4"/>
          <c:tx>
            <c:strRef>
              <c:f>'Figure 21'!$R$4</c:f>
              <c:strCache>
                <c:ptCount val="1"/>
                <c:pt idx="0">
                  <c:v>Solar PV DAT</c:v>
                </c:pt>
              </c:strCache>
            </c:strRef>
          </c:tx>
          <c:spPr>
            <a:ln w="19050" cap="rnd">
              <a:solidFill>
                <a:srgbClr val="1E4164"/>
              </a:solidFill>
              <a:round/>
            </a:ln>
            <a:effectLst/>
          </c:spPr>
          <c:marker>
            <c:symbol val="none"/>
          </c:marker>
          <c:xVal>
            <c:numRef>
              <c:f>'Figure 21'!$K$5:$K$95</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xVal>
          <c:yVal>
            <c:numRef>
              <c:f>'Figure 21'!$R$5:$R$95</c:f>
              <c:numCache>
                <c:formatCode>#,##0</c:formatCode>
                <c:ptCount val="91"/>
                <c:pt idx="0">
                  <c:v>313254.39064861002</c:v>
                </c:pt>
                <c:pt idx="1">
                  <c:v>3101.5249339799998</c:v>
                </c:pt>
                <c:pt idx="2">
                  <c:v>1558.4776961600001</c:v>
                </c:pt>
                <c:pt idx="3">
                  <c:v>1040.7110197899999</c:v>
                </c:pt>
                <c:pt idx="4">
                  <c:v>781.18208572000003</c:v>
                </c:pt>
                <c:pt idx="5">
                  <c:v>625.25751773000002</c:v>
                </c:pt>
                <c:pt idx="6">
                  <c:v>521.22132477000002</c:v>
                </c:pt>
                <c:pt idx="7">
                  <c:v>446.86735514999998</c:v>
                </c:pt>
                <c:pt idx="8">
                  <c:v>391.07867168000001</c:v>
                </c:pt>
                <c:pt idx="9">
                  <c:v>347.67371345999999</c:v>
                </c:pt>
                <c:pt idx="10">
                  <c:v>312.94107478000001</c:v>
                </c:pt>
                <c:pt idx="11">
                  <c:v>284.51772549999998</c:v>
                </c:pt>
                <c:pt idx="12">
                  <c:v>260.82765681000001</c:v>
                </c:pt>
                <c:pt idx="13">
                  <c:v>240.77941261000001</c:v>
                </c:pt>
                <c:pt idx="14">
                  <c:v>223.59315896999999</c:v>
                </c:pt>
                <c:pt idx="15">
                  <c:v>208.69687923999999</c:v>
                </c:pt>
                <c:pt idx="16">
                  <c:v>195.66147140999999</c:v>
                </c:pt>
                <c:pt idx="17">
                  <c:v>184.15873936</c:v>
                </c:pt>
                <c:pt idx="18">
                  <c:v>173.93337905000001</c:v>
                </c:pt>
                <c:pt idx="19">
                  <c:v>164.78380625</c:v>
                </c:pt>
                <c:pt idx="20">
                  <c:v>156.54873345999999</c:v>
                </c:pt>
                <c:pt idx="21">
                  <c:v>149.09758002000001</c:v>
                </c:pt>
                <c:pt idx="22">
                  <c:v>142.32349644999999</c:v>
                </c:pt>
                <c:pt idx="23">
                  <c:v>136.13820755</c:v>
                </c:pt>
                <c:pt idx="24">
                  <c:v>130.46814479</c:v>
                </c:pt>
                <c:pt idx="25">
                  <c:v>125.25150565</c:v>
                </c:pt>
                <c:pt idx="26">
                  <c:v>120.43599216</c:v>
                </c:pt>
                <c:pt idx="27">
                  <c:v>115.97705132999999</c:v>
                </c:pt>
                <c:pt idx="28">
                  <c:v>111.83649253999999</c:v>
                </c:pt>
                <c:pt idx="29">
                  <c:v>107.98139112</c:v>
                </c:pt>
                <c:pt idx="30">
                  <c:v>104.38321079000001</c:v>
                </c:pt>
                <c:pt idx="31">
                  <c:v>101.01709630000001</c:v>
                </c:pt>
                <c:pt idx="32">
                  <c:v>97.861298219999995</c:v>
                </c:pt>
              </c:numCache>
            </c:numRef>
          </c:yVal>
          <c:smooth val="0"/>
        </c:ser>
        <c:ser>
          <c:idx val="7"/>
          <c:order val="5"/>
          <c:tx>
            <c:strRef>
              <c:f>'Figure 21'!$S$4</c:f>
              <c:strCache>
                <c:ptCount val="1"/>
                <c:pt idx="0">
                  <c:v>Solar PV FFP</c:v>
                </c:pt>
              </c:strCache>
            </c:strRef>
          </c:tx>
          <c:spPr>
            <a:ln w="19050" cap="rnd">
              <a:solidFill>
                <a:srgbClr val="A9C398"/>
              </a:solidFill>
              <a:round/>
            </a:ln>
            <a:effectLst/>
          </c:spPr>
          <c:marker>
            <c:symbol val="none"/>
          </c:marker>
          <c:xVal>
            <c:numRef>
              <c:f>'Figure 21'!$K$5:$K$95</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xVal>
          <c:yVal>
            <c:numRef>
              <c:f>'Figure 21'!$S$5:$S$95</c:f>
              <c:numCache>
                <c:formatCode>#,##0</c:formatCode>
                <c:ptCount val="91"/>
                <c:pt idx="0">
                  <c:v>211839.76714814</c:v>
                </c:pt>
                <c:pt idx="1">
                  <c:v>2097.4209442299998</c:v>
                </c:pt>
                <c:pt idx="2">
                  <c:v>1053.9279324300001</c:v>
                </c:pt>
                <c:pt idx="3">
                  <c:v>703.78576224999995</c:v>
                </c:pt>
                <c:pt idx="4">
                  <c:v>528.27808988000004</c:v>
                </c:pt>
                <c:pt idx="5">
                  <c:v>422.83336136999998</c:v>
                </c:pt>
                <c:pt idx="6">
                  <c:v>352.47839254000002</c:v>
                </c:pt>
                <c:pt idx="7">
                  <c:v>302.19616798999999</c:v>
                </c:pt>
                <c:pt idx="8">
                  <c:v>264.46880625</c:v>
                </c:pt>
                <c:pt idx="9">
                  <c:v>235.11599742000001</c:v>
                </c:pt>
                <c:pt idx="10">
                  <c:v>211.62788581000001</c:v>
                </c:pt>
                <c:pt idx="11">
                  <c:v>192.40646107000001</c:v>
                </c:pt>
                <c:pt idx="12">
                  <c:v>176.38593978</c:v>
                </c:pt>
                <c:pt idx="13">
                  <c:v>162.82821956999999</c:v>
                </c:pt>
                <c:pt idx="14">
                  <c:v>151.20593405</c:v>
                </c:pt>
                <c:pt idx="15">
                  <c:v>141.13225424000001</c:v>
                </c:pt>
                <c:pt idx="16">
                  <c:v>132.31699788</c:v>
                </c:pt>
                <c:pt idx="17">
                  <c:v>124.53822078</c:v>
                </c:pt>
                <c:pt idx="18">
                  <c:v>117.62327239</c:v>
                </c:pt>
                <c:pt idx="19">
                  <c:v>111.43583039000001</c:v>
                </c:pt>
                <c:pt idx="20">
                  <c:v>105.86682337000001</c:v>
                </c:pt>
                <c:pt idx="21">
                  <c:v>100.82794552</c:v>
                </c:pt>
                <c:pt idx="22">
                  <c:v>96.246939380000001</c:v>
                </c:pt>
              </c:numCache>
            </c:numRef>
          </c:yVal>
          <c:smooth val="0"/>
        </c:ser>
        <c:ser>
          <c:idx val="8"/>
          <c:order val="6"/>
          <c:tx>
            <c:strRef>
              <c:f>'Figure 21'!$T$4</c:f>
              <c:strCache>
                <c:ptCount val="1"/>
                <c:pt idx="0">
                  <c:v>Solar PV SAT</c:v>
                </c:pt>
              </c:strCache>
            </c:strRef>
          </c:tx>
          <c:spPr>
            <a:ln w="19050" cap="rnd">
              <a:solidFill>
                <a:srgbClr val="CB7E80"/>
              </a:solidFill>
              <a:round/>
            </a:ln>
            <a:effectLst/>
          </c:spPr>
          <c:marker>
            <c:symbol val="none"/>
          </c:marker>
          <c:xVal>
            <c:numRef>
              <c:f>'Figure 21'!$K$5:$K$95</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xVal>
          <c:yVal>
            <c:numRef>
              <c:f>'Figure 21'!$T$5:$T$95</c:f>
              <c:numCache>
                <c:formatCode>#,##0</c:formatCode>
                <c:ptCount val="91"/>
                <c:pt idx="0">
                  <c:v>250771.43014564001</c:v>
                </c:pt>
                <c:pt idx="1">
                  <c:v>2482.88249597</c:v>
                </c:pt>
                <c:pt idx="2">
                  <c:v>1247.6175670099999</c:v>
                </c:pt>
                <c:pt idx="3">
                  <c:v>833.12668103999999</c:v>
                </c:pt>
                <c:pt idx="4">
                  <c:v>625.36441526999999</c:v>
                </c:pt>
                <c:pt idx="5">
                  <c:v>500.54117869999999</c:v>
                </c:pt>
                <c:pt idx="6">
                  <c:v>417.25645652999998</c:v>
                </c:pt>
                <c:pt idx="7">
                  <c:v>357.73342395999998</c:v>
                </c:pt>
                <c:pt idx="8">
                  <c:v>313.07257208999999</c:v>
                </c:pt>
                <c:pt idx="9">
                  <c:v>278.32533861000002</c:v>
                </c:pt>
                <c:pt idx="10">
                  <c:v>250.52060950000001</c:v>
                </c:pt>
                <c:pt idx="11">
                  <c:v>227.76669394999999</c:v>
                </c:pt>
                <c:pt idx="12">
                  <c:v>208.80194012000001</c:v>
                </c:pt>
                <c:pt idx="13">
                  <c:v>192.75259804999999</c:v>
                </c:pt>
                <c:pt idx="14">
                  <c:v>178.99438258000001</c:v>
                </c:pt>
                <c:pt idx="15">
                  <c:v>167.06937375999999</c:v>
                </c:pt>
                <c:pt idx="16">
                  <c:v>156.63405997000001</c:v>
                </c:pt>
                <c:pt idx="17">
                  <c:v>147.42570837</c:v>
                </c:pt>
                <c:pt idx="18">
                  <c:v>139.2399389</c:v>
                </c:pt>
                <c:pt idx="19">
                  <c:v>131.9153761</c:v>
                </c:pt>
                <c:pt idx="20">
                  <c:v>125.32290352</c:v>
                </c:pt>
                <c:pt idx="21">
                  <c:v>119.35798663999999</c:v>
                </c:pt>
                <c:pt idx="22">
                  <c:v>113.93508858</c:v>
                </c:pt>
                <c:pt idx="23">
                  <c:v>108.98354189</c:v>
                </c:pt>
                <c:pt idx="24">
                  <c:v>104.44445229</c:v>
                </c:pt>
                <c:pt idx="25">
                  <c:v>100.26834464</c:v>
                </c:pt>
                <c:pt idx="26">
                  <c:v>96.413352520000004</c:v>
                </c:pt>
                <c:pt idx="27">
                  <c:v>92.843809680000007</c:v>
                </c:pt>
                <c:pt idx="28">
                  <c:v>89.529143129999994</c:v>
                </c:pt>
              </c:numCache>
            </c:numRef>
          </c:yVal>
          <c:smooth val="0"/>
        </c:ser>
        <c:ser>
          <c:idx val="10"/>
          <c:order val="7"/>
          <c:tx>
            <c:strRef>
              <c:f>'Figure 21'!$U$4</c:f>
              <c:strCache>
                <c:ptCount val="1"/>
                <c:pt idx="0">
                  <c:v>Solar Thermal CR WS</c:v>
                </c:pt>
              </c:strCache>
            </c:strRef>
          </c:tx>
          <c:spPr>
            <a:ln w="19050" cap="rnd">
              <a:solidFill>
                <a:srgbClr val="948671"/>
              </a:solidFill>
              <a:round/>
            </a:ln>
            <a:effectLst/>
          </c:spPr>
          <c:marker>
            <c:symbol val="none"/>
          </c:marker>
          <c:xVal>
            <c:numRef>
              <c:f>'Figure 21'!$K$5:$K$95</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xVal>
          <c:yVal>
            <c:numRef>
              <c:f>'Figure 21'!$U$5:$U$95</c:f>
              <c:numCache>
                <c:formatCode>#,##0</c:formatCode>
                <c:ptCount val="91"/>
                <c:pt idx="0">
                  <c:v>681001.85128049995</c:v>
                </c:pt>
                <c:pt idx="1">
                  <c:v>6748.2281374699996</c:v>
                </c:pt>
                <c:pt idx="2">
                  <c:v>3393.7365116199999</c:v>
                </c:pt>
                <c:pt idx="3">
                  <c:v>2268.1429863799999</c:v>
                </c:pt>
                <c:pt idx="4">
                  <c:v>1703.94273722</c:v>
                </c:pt>
                <c:pt idx="5">
                  <c:v>1364.9721310299999</c:v>
                </c:pt>
                <c:pt idx="6">
                  <c:v>1138.8037225</c:v>
                </c:pt>
                <c:pt idx="7">
                  <c:v>977.16267721999998</c:v>
                </c:pt>
                <c:pt idx="8">
                  <c:v>855.88144426999997</c:v>
                </c:pt>
                <c:pt idx="9">
                  <c:v>761.52168306999999</c:v>
                </c:pt>
                <c:pt idx="10">
                  <c:v>686.01502147999997</c:v>
                </c:pt>
                <c:pt idx="11">
                  <c:v>624.22437448999995</c:v>
                </c:pt>
                <c:pt idx="12">
                  <c:v>572.72359402999996</c:v>
                </c:pt>
                <c:pt idx="13">
                  <c:v>529.13992036000002</c:v>
                </c:pt>
                <c:pt idx="14">
                  <c:v>491.77804154</c:v>
                </c:pt>
                <c:pt idx="15">
                  <c:v>459.39442788999997</c:v>
                </c:pt>
                <c:pt idx="16">
                  <c:v>431.05623749</c:v>
                </c:pt>
                <c:pt idx="17">
                  <c:v>406.04999178999998</c:v>
                </c:pt>
                <c:pt idx="18">
                  <c:v>383.82067524000001</c:v>
                </c:pt>
                <c:pt idx="19">
                  <c:v>363.93005582000001</c:v>
                </c:pt>
                <c:pt idx="20">
                  <c:v>346.02750428000002</c:v>
                </c:pt>
                <c:pt idx="21">
                  <c:v>329.82914611000001</c:v>
                </c:pt>
                <c:pt idx="22">
                  <c:v>315.10269700999999</c:v>
                </c:pt>
                <c:pt idx="23">
                  <c:v>301.65625202000001</c:v>
                </c:pt>
                <c:pt idx="24">
                  <c:v>289.32987757000001</c:v>
                </c:pt>
                <c:pt idx="25">
                  <c:v>277.98921872</c:v>
                </c:pt>
                <c:pt idx="26">
                  <c:v>267.52058283999997</c:v>
                </c:pt>
                <c:pt idx="27">
                  <c:v>257.82711441999999</c:v>
                </c:pt>
                <c:pt idx="28">
                  <c:v>248.82578934</c:v>
                </c:pt>
                <c:pt idx="29">
                  <c:v>240.44503137000001</c:v>
                </c:pt>
                <c:pt idx="30">
                  <c:v>232.62280437000001</c:v>
                </c:pt>
                <c:pt idx="31">
                  <c:v>225.30507449999999</c:v>
                </c:pt>
                <c:pt idx="32">
                  <c:v>218.44455980000001</c:v>
                </c:pt>
                <c:pt idx="33">
                  <c:v>211.99970794999999</c:v>
                </c:pt>
                <c:pt idx="34">
                  <c:v>205.93385355000001</c:v>
                </c:pt>
                <c:pt idx="35">
                  <c:v>200.21452038999999</c:v>
                </c:pt>
                <c:pt idx="36">
                  <c:v>194.81283973999999</c:v>
                </c:pt>
                <c:pt idx="37">
                  <c:v>189.70306292000001</c:v>
                </c:pt>
                <c:pt idx="38">
                  <c:v>184.86215098</c:v>
                </c:pt>
                <c:pt idx="39">
                  <c:v>180.26942729999999</c:v>
                </c:pt>
                <c:pt idx="40">
                  <c:v>175.90628240999999</c:v>
                </c:pt>
                <c:pt idx="41">
                  <c:v>171.75592194999999</c:v>
                </c:pt>
                <c:pt idx="42">
                  <c:v>167.80315064999999</c:v>
                </c:pt>
                <c:pt idx="43">
                  <c:v>164.03418644000001</c:v>
                </c:pt>
                <c:pt idx="44">
                  <c:v>160.43649986</c:v>
                </c:pt>
                <c:pt idx="45">
                  <c:v>156.99867492999999</c:v>
                </c:pt>
                <c:pt idx="46">
                  <c:v>153.71028817000001</c:v>
                </c:pt>
                <c:pt idx="47">
                  <c:v>150.561803</c:v>
                </c:pt>
                <c:pt idx="48">
                  <c:v>147.54447737000001</c:v>
                </c:pt>
                <c:pt idx="49">
                  <c:v>144.65028276999999</c:v>
                </c:pt>
                <c:pt idx="50">
                  <c:v>141.87183279999999</c:v>
                </c:pt>
                <c:pt idx="51">
                  <c:v>139.2023203</c:v>
                </c:pt>
                <c:pt idx="52">
                  <c:v>136.63546160999999</c:v>
                </c:pt>
              </c:numCache>
            </c:numRef>
          </c:yVal>
          <c:smooth val="0"/>
        </c:ser>
        <c:ser>
          <c:idx val="13"/>
          <c:order val="8"/>
          <c:tx>
            <c:strRef>
              <c:f>'Figure 21'!$X$4</c:f>
              <c:strCache>
                <c:ptCount val="1"/>
                <c:pt idx="0">
                  <c:v>Wave/Ocean</c:v>
                </c:pt>
              </c:strCache>
            </c:strRef>
          </c:tx>
          <c:spPr>
            <a:ln w="19050" cap="rnd">
              <a:solidFill>
                <a:srgbClr val="BFB6AA"/>
              </a:solidFill>
              <a:round/>
            </a:ln>
            <a:effectLst/>
          </c:spPr>
          <c:marker>
            <c:symbol val="none"/>
          </c:marker>
          <c:xVal>
            <c:numRef>
              <c:f>'Figure 21'!$K$5:$K$95</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xVal>
          <c:yVal>
            <c:numRef>
              <c:f>'Figure 21'!$X$5:$X$95</c:f>
              <c:numCache>
                <c:formatCode>#,##0</c:formatCode>
                <c:ptCount val="91"/>
                <c:pt idx="0">
                  <c:v>905271.49934172002</c:v>
                </c:pt>
                <c:pt idx="1">
                  <c:v>8982.86959948</c:v>
                </c:pt>
                <c:pt idx="2">
                  <c:v>4523.7304470199997</c:v>
                </c:pt>
                <c:pt idx="3">
                  <c:v>3027.4744737400001</c:v>
                </c:pt>
                <c:pt idx="4">
                  <c:v>2277.4808370699998</c:v>
                </c:pt>
                <c:pt idx="5">
                  <c:v>1826.88585681</c:v>
                </c:pt>
                <c:pt idx="6">
                  <c:v>1526.23929084</c:v>
                </c:pt>
                <c:pt idx="7">
                  <c:v>1311.36920551</c:v>
                </c:pt>
                <c:pt idx="8">
                  <c:v>1150.1495797699999</c:v>
                </c:pt>
                <c:pt idx="9">
                  <c:v>1024.7167734300001</c:v>
                </c:pt>
                <c:pt idx="10">
                  <c:v>924.34546710999996</c:v>
                </c:pt>
                <c:pt idx="11">
                  <c:v>842.20691414999999</c:v>
                </c:pt>
                <c:pt idx="12">
                  <c:v>773.74672109999995</c:v>
                </c:pt>
                <c:pt idx="13">
                  <c:v>715.81077059999996</c:v>
                </c:pt>
                <c:pt idx="14">
                  <c:v>666.14547613000002</c:v>
                </c:pt>
                <c:pt idx="15">
                  <c:v>623.09780966999995</c:v>
                </c:pt>
                <c:pt idx="16">
                  <c:v>585.42774010000005</c:v>
                </c:pt>
                <c:pt idx="17">
                  <c:v>552.18683825999994</c:v>
                </c:pt>
                <c:pt idx="18">
                  <c:v>522.63731923</c:v>
                </c:pt>
                <c:pt idx="19">
                  <c:v>496.19663949</c:v>
                </c:pt>
                <c:pt idx="20">
                  <c:v>472.39870652000002</c:v>
                </c:pt>
                <c:pt idx="21">
                  <c:v>450.86616451999998</c:v>
                </c:pt>
                <c:pt idx="22">
                  <c:v>431.29023689000002</c:v>
                </c:pt>
                <c:pt idx="23">
                  <c:v>413.41582421999999</c:v>
                </c:pt>
                <c:pt idx="24">
                  <c:v>397.0303255</c:v>
                </c:pt>
                <c:pt idx="25">
                  <c:v>381.95514255000001</c:v>
                </c:pt>
                <c:pt idx="26">
                  <c:v>368.03914318</c:v>
                </c:pt>
                <c:pt idx="27">
                  <c:v>355.15357691000003</c:v>
                </c:pt>
                <c:pt idx="28">
                  <c:v>343.18807975999999</c:v>
                </c:pt>
                <c:pt idx="29">
                  <c:v>332.04750474000002</c:v>
                </c:pt>
                <c:pt idx="30">
                  <c:v>321.64938733999998</c:v>
                </c:pt>
                <c:pt idx="31">
                  <c:v>311.92189981000001</c:v>
                </c:pt>
                <c:pt idx="32">
                  <c:v>302.80219033999998</c:v>
                </c:pt>
                <c:pt idx="33">
                  <c:v>294.23502310999999</c:v>
                </c:pt>
                <c:pt idx="34">
                  <c:v>286.17165872999999</c:v>
                </c:pt>
                <c:pt idx="35">
                  <c:v>278.56892640000001</c:v>
                </c:pt>
                <c:pt idx="36">
                  <c:v>271.38845077000002</c:v>
                </c:pt>
                <c:pt idx="37">
                  <c:v>264.59600412999998</c:v>
                </c:pt>
                <c:pt idx="38">
                  <c:v>258.16096059</c:v>
                </c:pt>
                <c:pt idx="39">
                  <c:v>252.05583469999999</c:v>
                </c:pt>
                <c:pt idx="40">
                  <c:v>246.25588882</c:v>
                </c:pt>
                <c:pt idx="41">
                  <c:v>240.73879812999999</c:v>
                </c:pt>
                <c:pt idx="42">
                  <c:v>235.48436351000001</c:v>
                </c:pt>
                <c:pt idx="43">
                  <c:v>230.47426442</c:v>
                </c:pt>
                <c:pt idx="44">
                  <c:v>225.69184529</c:v>
                </c:pt>
                <c:pt idx="45">
                  <c:v>221.12193094</c:v>
                </c:pt>
                <c:pt idx="46">
                  <c:v>216.75066532</c:v>
                </c:pt>
                <c:pt idx="47">
                  <c:v>212.56537143</c:v>
                </c:pt>
                <c:pt idx="48">
                  <c:v>208.55442847</c:v>
                </c:pt>
                <c:pt idx="49">
                  <c:v>204.70716407</c:v>
                </c:pt>
                <c:pt idx="50">
                  <c:v>201.01375948</c:v>
                </c:pt>
                <c:pt idx="51">
                  <c:v>197.46516586999999</c:v>
                </c:pt>
                <c:pt idx="52">
                  <c:v>194.05303039</c:v>
                </c:pt>
                <c:pt idx="53">
                  <c:v>190.76963047000001</c:v>
                </c:pt>
                <c:pt idx="54">
                  <c:v>187.60781542999999</c:v>
                </c:pt>
                <c:pt idx="55">
                  <c:v>184.56095457000001</c:v>
                </c:pt>
                <c:pt idx="56">
                  <c:v>181.62289072999999</c:v>
                </c:pt>
                <c:pt idx="57">
                  <c:v>178.78789881</c:v>
                </c:pt>
                <c:pt idx="58">
                  <c:v>176.05064834999999</c:v>
                </c:pt>
                <c:pt idx="59">
                  <c:v>173.40617032</c:v>
                </c:pt>
                <c:pt idx="60">
                  <c:v>170.84982687999999</c:v>
                </c:pt>
              </c:numCache>
            </c:numRef>
          </c:yVal>
          <c:smooth val="0"/>
        </c:ser>
        <c:ser>
          <c:idx val="4"/>
          <c:order val="9"/>
          <c:tx>
            <c:strRef>
              <c:f>'Figure 21'!$P$4</c:f>
              <c:strCache>
                <c:ptCount val="1"/>
                <c:pt idx="0">
                  <c:v>Integrated Solar Combined Cycle (ISCC)</c:v>
                </c:pt>
              </c:strCache>
            </c:strRef>
          </c:tx>
          <c:spPr>
            <a:ln w="12700" cap="rnd">
              <a:solidFill>
                <a:schemeClr val="accent1">
                  <a:lumMod val="40000"/>
                  <a:lumOff val="60000"/>
                </a:schemeClr>
              </a:solidFill>
              <a:prstDash val="dashDot"/>
              <a:round/>
            </a:ln>
            <a:effectLst/>
          </c:spPr>
          <c:marker>
            <c:symbol val="none"/>
          </c:marker>
          <c:xVal>
            <c:numRef>
              <c:f>'Figure 21'!$K$5:$K$95</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xVal>
          <c:yVal>
            <c:numRef>
              <c:f>'Figure 21'!$P$5:$P$95</c:f>
            </c:numRef>
          </c:yVal>
          <c:smooth val="0"/>
        </c:ser>
        <c:ser>
          <c:idx val="5"/>
          <c:order val="10"/>
          <c:tx>
            <c:strRef>
              <c:f>'Figure 21'!$Q$4</c:f>
              <c:strCache>
                <c:ptCount val="1"/>
                <c:pt idx="0">
                  <c:v>OCGT - Without CCS</c:v>
                </c:pt>
              </c:strCache>
            </c:strRef>
          </c:tx>
          <c:spPr>
            <a:ln w="12700" cap="rnd">
              <a:solidFill>
                <a:schemeClr val="tx1"/>
              </a:solidFill>
              <a:prstDash val="sysDot"/>
              <a:round/>
            </a:ln>
            <a:effectLst/>
          </c:spPr>
          <c:marker>
            <c:symbol val="none"/>
          </c:marker>
          <c:xVal>
            <c:numRef>
              <c:f>'Figure 21'!$K$5:$K$95</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xVal>
          <c:yVal>
            <c:numRef>
              <c:f>'Figure 21'!$Q$5:$Q$95</c:f>
              <c:numCache>
                <c:formatCode>#,##0</c:formatCode>
                <c:ptCount val="91"/>
                <c:pt idx="0">
                  <c:v>106410.52613579</c:v>
                </c:pt>
                <c:pt idx="1">
                  <c:v>1164.18630551</c:v>
                </c:pt>
                <c:pt idx="2">
                  <c:v>640.57332141999996</c:v>
                </c:pt>
                <c:pt idx="3">
                  <c:v>464.87594443</c:v>
                </c:pt>
                <c:pt idx="4">
                  <c:v>376.80818204000002</c:v>
                </c:pt>
                <c:pt idx="5">
                  <c:v>323.89721118</c:v>
                </c:pt>
                <c:pt idx="6">
                  <c:v>288.59388443</c:v>
                </c:pt>
                <c:pt idx="7">
                  <c:v>263.36283366999999</c:v>
                </c:pt>
                <c:pt idx="8">
                  <c:v>244.43167066000001</c:v>
                </c:pt>
                <c:pt idx="9">
                  <c:v>229.70276358999999</c:v>
                </c:pt>
                <c:pt idx="10">
                  <c:v>217.91669517</c:v>
                </c:pt>
                <c:pt idx="11">
                  <c:v>208.27160198000001</c:v>
                </c:pt>
                <c:pt idx="12">
                  <c:v>200.23268569999999</c:v>
                </c:pt>
                <c:pt idx="13">
                  <c:v>193.42957526999999</c:v>
                </c:pt>
                <c:pt idx="14">
                  <c:v>187.59764398999999</c:v>
                </c:pt>
                <c:pt idx="15">
                  <c:v>182.54278554000001</c:v>
                </c:pt>
                <c:pt idx="16">
                  <c:v>178.11938968999999</c:v>
                </c:pt>
                <c:pt idx="17">
                  <c:v>174.21608745</c:v>
                </c:pt>
                <c:pt idx="18">
                  <c:v>170.74624463000001</c:v>
                </c:pt>
                <c:pt idx="19">
                  <c:v>167.64145629999999</c:v>
                </c:pt>
                <c:pt idx="20">
                  <c:v>164.84699164</c:v>
                </c:pt>
                <c:pt idx="21">
                  <c:v>162.31853978999999</c:v>
                </c:pt>
                <c:pt idx="22">
                  <c:v>160.01984275000001</c:v>
                </c:pt>
                <c:pt idx="23">
                  <c:v>157.92094557999999</c:v>
                </c:pt>
                <c:pt idx="24">
                  <c:v>155.99688363999999</c:v>
                </c:pt>
                <c:pt idx="25">
                  <c:v>154.22668512000001</c:v>
                </c:pt>
                <c:pt idx="26">
                  <c:v>152.59260336</c:v>
                </c:pt>
                <c:pt idx="27">
                  <c:v>151.07951986</c:v>
                </c:pt>
                <c:pt idx="28">
                  <c:v>149.67447518</c:v>
                </c:pt>
                <c:pt idx="29">
                  <c:v>148.36629672999999</c:v>
                </c:pt>
                <c:pt idx="30">
                  <c:v>147.14530113999999</c:v>
                </c:pt>
                <c:pt idx="31">
                  <c:v>146.00305401</c:v>
                </c:pt>
                <c:pt idx="32">
                  <c:v>144.93217504</c:v>
                </c:pt>
                <c:pt idx="33">
                  <c:v>143.92617819</c:v>
                </c:pt>
                <c:pt idx="34">
                  <c:v>142.97934021</c:v>
                </c:pt>
                <c:pt idx="35">
                  <c:v>142.08659180000001</c:v>
                </c:pt>
                <c:pt idx="36">
                  <c:v>141.24342675</c:v>
                </c:pt>
                <c:pt idx="37">
                  <c:v>140.44582588</c:v>
                </c:pt>
                <c:pt idx="38">
                  <c:v>139.69019294</c:v>
                </c:pt>
                <c:pt idx="39">
                  <c:v>138.97330049000001</c:v>
                </c:pt>
                <c:pt idx="40">
                  <c:v>138.29224371000001</c:v>
                </c:pt>
                <c:pt idx="41">
                  <c:v>137.64440110000001</c:v>
                </c:pt>
                <c:pt idx="42">
                  <c:v>137.02740080999999</c:v>
                </c:pt>
                <c:pt idx="43">
                  <c:v>136.43909152000001</c:v>
                </c:pt>
                <c:pt idx="44">
                  <c:v>135.87751749</c:v>
                </c:pt>
                <c:pt idx="45">
                  <c:v>135.34089677</c:v>
                </c:pt>
                <c:pt idx="46">
                  <c:v>134.8276023</c:v>
                </c:pt>
                <c:pt idx="47">
                  <c:v>134.33614549999999</c:v>
                </c:pt>
                <c:pt idx="48">
                  <c:v>133.86516182</c:v>
                </c:pt>
                <c:pt idx="49">
                  <c:v>133.41339801999999</c:v>
                </c:pt>
                <c:pt idx="50">
                  <c:v>132.97970117</c:v>
                </c:pt>
                <c:pt idx="51">
                  <c:v>132.56300870000001</c:v>
                </c:pt>
                <c:pt idx="52">
                  <c:v>132.16233979</c:v>
                </c:pt>
                <c:pt idx="53">
                  <c:v>131.77678760000001</c:v>
                </c:pt>
                <c:pt idx="54">
                  <c:v>131.40551248</c:v>
                </c:pt>
                <c:pt idx="55">
                  <c:v>131.04773582999999</c:v>
                </c:pt>
                <c:pt idx="56">
                  <c:v>130.70273462</c:v>
                </c:pt>
                <c:pt idx="57">
                  <c:v>130.36983660000001</c:v>
                </c:pt>
                <c:pt idx="58">
                  <c:v>130.04841583999999</c:v>
                </c:pt>
                <c:pt idx="59">
                  <c:v>129.73788884999999</c:v>
                </c:pt>
                <c:pt idx="60">
                  <c:v>129.43771104999999</c:v>
                </c:pt>
                <c:pt idx="61">
                  <c:v>129.14737350999999</c:v>
                </c:pt>
                <c:pt idx="62">
                  <c:v>128.86640020999999</c:v>
                </c:pt>
                <c:pt idx="63">
                  <c:v>128.59434526000001</c:v>
                </c:pt>
                <c:pt idx="64">
                  <c:v>128.33079071</c:v>
                </c:pt>
                <c:pt idx="65">
                  <c:v>128.07534429</c:v>
                </c:pt>
                <c:pt idx="66">
                  <c:v>127.82763748000001</c:v>
                </c:pt>
                <c:pt idx="67">
                  <c:v>127.58732381999999</c:v>
                </c:pt>
                <c:pt idx="68">
                  <c:v>127.35407716</c:v>
                </c:pt>
                <c:pt idx="69">
                  <c:v>127.12759029</c:v>
                </c:pt>
                <c:pt idx="70">
                  <c:v>126.90757355</c:v>
                </c:pt>
                <c:pt idx="71">
                  <c:v>126.69375359999999</c:v>
                </c:pt>
                <c:pt idx="72">
                  <c:v>126.48587225999999</c:v>
                </c:pt>
                <c:pt idx="73">
                  <c:v>126.28368552000001</c:v>
                </c:pt>
                <c:pt idx="74">
                  <c:v>126.08696255</c:v>
                </c:pt>
                <c:pt idx="75">
                  <c:v>125.89548481999999</c:v>
                </c:pt>
                <c:pt idx="76">
                  <c:v>125.70904532</c:v>
                </c:pt>
                <c:pt idx="77">
                  <c:v>125.52744778</c:v>
                </c:pt>
                <c:pt idx="78">
                  <c:v>125.35050599</c:v>
                </c:pt>
                <c:pt idx="79">
                  <c:v>125.17804316</c:v>
                </c:pt>
                <c:pt idx="80">
                  <c:v>125.00989138</c:v>
                </c:pt>
                <c:pt idx="81">
                  <c:v>124.84589097</c:v>
                </c:pt>
                <c:pt idx="82">
                  <c:v>124.68589009</c:v>
                </c:pt>
                <c:pt idx="83">
                  <c:v>124.52974417999999</c:v>
                </c:pt>
              </c:numCache>
            </c:numRef>
          </c:yVal>
          <c:smooth val="0"/>
        </c:ser>
        <c:ser>
          <c:idx val="1"/>
          <c:order val="11"/>
          <c:tx>
            <c:strRef>
              <c:f>'Figure 21'!$M$4</c:f>
              <c:strCache>
                <c:ptCount val="1"/>
                <c:pt idx="0">
                  <c:v>CCGT - Without CCS</c:v>
                </c:pt>
              </c:strCache>
            </c:strRef>
          </c:tx>
          <c:spPr>
            <a:ln w="12700" cap="rnd">
              <a:solidFill>
                <a:schemeClr val="tx1"/>
              </a:solidFill>
              <a:prstDash val="sysDash"/>
              <a:round/>
            </a:ln>
            <a:effectLst/>
          </c:spPr>
          <c:marker>
            <c:symbol val="none"/>
          </c:marker>
          <c:xVal>
            <c:numRef>
              <c:f>'Figure 21'!$K$5:$K$95</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xVal>
          <c:yVal>
            <c:numRef>
              <c:f>'Figure 21'!$M$5:$M$95</c:f>
              <c:numCache>
                <c:formatCode>#,##0</c:formatCode>
                <c:ptCount val="91"/>
                <c:pt idx="0">
                  <c:v>151585.04786806001</c:v>
                </c:pt>
                <c:pt idx="1">
                  <c:v>1563.0179075399999</c:v>
                </c:pt>
                <c:pt idx="2">
                  <c:v>811.30736704000003</c:v>
                </c:pt>
                <c:pt idx="3">
                  <c:v>559.07227079999996</c:v>
                </c:pt>
                <c:pt idx="4">
                  <c:v>432.64021556</c:v>
                </c:pt>
                <c:pt idx="5">
                  <c:v>356.68003834000001</c:v>
                </c:pt>
                <c:pt idx="6">
                  <c:v>305.99779111999999</c:v>
                </c:pt>
                <c:pt idx="7">
                  <c:v>269.77552853999998</c:v>
                </c:pt>
                <c:pt idx="8">
                  <c:v>242.59752631000001</c:v>
                </c:pt>
                <c:pt idx="9">
                  <c:v>221.45237706</c:v>
                </c:pt>
                <c:pt idx="10">
                  <c:v>204.53203264000001</c:v>
                </c:pt>
                <c:pt idx="11">
                  <c:v>190.68532049000001</c:v>
                </c:pt>
                <c:pt idx="12">
                  <c:v>179.14447204999999</c:v>
                </c:pt>
                <c:pt idx="13">
                  <c:v>169.37777406999999</c:v>
                </c:pt>
                <c:pt idx="14">
                  <c:v>161.00532276999999</c:v>
                </c:pt>
                <c:pt idx="15">
                  <c:v>153.74845450999999</c:v>
                </c:pt>
                <c:pt idx="16">
                  <c:v>147.3981283</c:v>
                </c:pt>
                <c:pt idx="17">
                  <c:v>141.79446002</c:v>
                </c:pt>
                <c:pt idx="18">
                  <c:v>136.81307584999999</c:v>
                </c:pt>
                <c:pt idx="19">
                  <c:v>132.35577207</c:v>
                </c:pt>
                <c:pt idx="20">
                  <c:v>128.34397593</c:v>
                </c:pt>
                <c:pt idx="21">
                  <c:v>124.71407376000001</c:v>
                </c:pt>
                <c:pt idx="22">
                  <c:v>121.41401276000001</c:v>
                </c:pt>
                <c:pt idx="23">
                  <c:v>118.40078889</c:v>
                </c:pt>
                <c:pt idx="24">
                  <c:v>115.63856239</c:v>
                </c:pt>
                <c:pt idx="25">
                  <c:v>113.09722567</c:v>
                </c:pt>
                <c:pt idx="26">
                  <c:v>110.75130124</c:v>
                </c:pt>
                <c:pt idx="27">
                  <c:v>108.57908466000001</c:v>
                </c:pt>
                <c:pt idx="28">
                  <c:v>106.56197100999999</c:v>
                </c:pt>
                <c:pt idx="29">
                  <c:v>104.68392068999999</c:v>
                </c:pt>
                <c:pt idx="30">
                  <c:v>102.931032</c:v>
                </c:pt>
                <c:pt idx="31">
                  <c:v>101.29119643</c:v>
                </c:pt>
                <c:pt idx="32">
                  <c:v>99.753818570000007</c:v>
                </c:pt>
                <c:pt idx="33">
                  <c:v>98.309586899999999</c:v>
                </c:pt>
                <c:pt idx="34">
                  <c:v>96.950285059999999</c:v>
                </c:pt>
                <c:pt idx="35">
                  <c:v>95.668635420000001</c:v>
                </c:pt>
                <c:pt idx="36">
                  <c:v>94.45816877</c:v>
                </c:pt>
                <c:pt idx="37">
                  <c:v>93.313115069999995</c:v>
                </c:pt>
                <c:pt idx="38">
                  <c:v>92.228311489999996</c:v>
                </c:pt>
                <c:pt idx="39">
                  <c:v>91.199124609999998</c:v>
                </c:pt>
                <c:pt idx="40">
                  <c:v>90.221384200000003</c:v>
                </c:pt>
                <c:pt idx="41">
                  <c:v>89.291326830000003</c:v>
                </c:pt>
                <c:pt idx="42">
                  <c:v>88.405547350000006</c:v>
                </c:pt>
                <c:pt idx="43">
                  <c:v>87.560957349999995</c:v>
                </c:pt>
                <c:pt idx="44">
                  <c:v>86.754749079999996</c:v>
                </c:pt>
                <c:pt idx="45">
                  <c:v>85.984364319999997</c:v>
                </c:pt>
                <c:pt idx="46">
                  <c:v>85.247467270000001</c:v>
                </c:pt>
                <c:pt idx="47">
                  <c:v>84.541920880000006</c:v>
                </c:pt>
                <c:pt idx="48">
                  <c:v>83.865766129999997</c:v>
                </c:pt>
                <c:pt idx="49">
                  <c:v>83.217203900000001</c:v>
                </c:pt>
                <c:pt idx="50">
                  <c:v>82.594578970000001</c:v>
                </c:pt>
                <c:pt idx="51">
                  <c:v>81.996365909999994</c:v>
                </c:pt>
                <c:pt idx="52">
                  <c:v>81.421156640000007</c:v>
                </c:pt>
                <c:pt idx="53">
                  <c:v>80.867649270000001</c:v>
                </c:pt>
                <c:pt idx="54">
                  <c:v>80.334638380000001</c:v>
                </c:pt>
                <c:pt idx="55">
                  <c:v>79.821006190000006</c:v>
                </c:pt>
                <c:pt idx="56">
                  <c:v>79.325714719999993</c:v>
                </c:pt>
                <c:pt idx="57">
                  <c:v>78.847798850000004</c:v>
                </c:pt>
                <c:pt idx="58">
                  <c:v>78.386359999999996</c:v>
                </c:pt>
                <c:pt idx="59">
                  <c:v>77.940560500000004</c:v>
                </c:pt>
                <c:pt idx="60">
                  <c:v>77.509618500000002</c:v>
                </c:pt>
                <c:pt idx="61">
                  <c:v>77.092803430000004</c:v>
                </c:pt>
                <c:pt idx="62">
                  <c:v>76.689431839999997</c:v>
                </c:pt>
                <c:pt idx="63">
                  <c:v>76.298863670000003</c:v>
                </c:pt>
                <c:pt idx="64">
                  <c:v>75.920498850000001</c:v>
                </c:pt>
                <c:pt idx="65">
                  <c:v>75.553774230000002</c:v>
                </c:pt>
                <c:pt idx="66">
                  <c:v>75.198160790000003</c:v>
                </c:pt>
                <c:pt idx="67">
                  <c:v>74.85316109</c:v>
                </c:pt>
                <c:pt idx="68">
                  <c:v>74.518306949999996</c:v>
                </c:pt>
                <c:pt idx="69">
                  <c:v>74.193157319999997</c:v>
                </c:pt>
                <c:pt idx="70">
                  <c:v>73.877296360000003</c:v>
                </c:pt>
                <c:pt idx="71">
                  <c:v>73.570331640000006</c:v>
                </c:pt>
                <c:pt idx="72">
                  <c:v>73.271892530000002</c:v>
                </c:pt>
                <c:pt idx="73">
                  <c:v>72.981628709999995</c:v>
                </c:pt>
                <c:pt idx="74">
                  <c:v>72.699208799999994</c:v>
                </c:pt>
                <c:pt idx="75">
                  <c:v>72.424319080000004</c:v>
                </c:pt>
                <c:pt idx="76">
                  <c:v>72.156662350000005</c:v>
                </c:pt>
                <c:pt idx="77">
                  <c:v>71.895956850000005</c:v>
                </c:pt>
                <c:pt idx="78">
                  <c:v>71.641935239999995</c:v>
                </c:pt>
                <c:pt idx="79">
                  <c:v>71.394343750000004</c:v>
                </c:pt>
                <c:pt idx="80">
                  <c:v>71.152941260000006</c:v>
                </c:pt>
                <c:pt idx="81">
                  <c:v>70.917498600000002</c:v>
                </c:pt>
                <c:pt idx="82">
                  <c:v>70.687797739999993</c:v>
                </c:pt>
                <c:pt idx="83">
                  <c:v>70.463631179999993</c:v>
                </c:pt>
              </c:numCache>
            </c:numRef>
          </c:yVal>
          <c:smooth val="0"/>
        </c:ser>
        <c:ser>
          <c:idx val="14"/>
          <c:order val="12"/>
          <c:tx>
            <c:strRef>
              <c:f>'Figure 21'!$Y$4</c:f>
              <c:strCache>
                <c:ptCount val="1"/>
                <c:pt idx="0">
                  <c:v>CCGT - With CCS</c:v>
                </c:pt>
              </c:strCache>
            </c:strRef>
          </c:tx>
          <c:spPr>
            <a:ln w="12700" cap="rnd" cmpd="sng">
              <a:solidFill>
                <a:srgbClr val="FF0000"/>
              </a:solidFill>
              <a:prstDash val="sysDash"/>
              <a:round/>
            </a:ln>
            <a:effectLst/>
          </c:spPr>
          <c:marker>
            <c:symbol val="none"/>
          </c:marker>
          <c:xVal>
            <c:numRef>
              <c:f>'Figure 21'!$K$5:$K$95</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xVal>
          <c:yVal>
            <c:numRef>
              <c:f>'Figure 21'!$Y$5:$Y$95</c:f>
              <c:numCache>
                <c:formatCode>#,##0</c:formatCode>
                <c:ptCount val="91"/>
                <c:pt idx="0">
                  <c:v>308715.20246109</c:v>
                </c:pt>
                <c:pt idx="1">
                  <c:v>3136.1116137200002</c:v>
                </c:pt>
                <c:pt idx="2">
                  <c:v>1615.81952596</c:v>
                </c:pt>
                <c:pt idx="3">
                  <c:v>1105.6882980299999</c:v>
                </c:pt>
                <c:pt idx="4">
                  <c:v>849.98661119999997</c:v>
                </c:pt>
                <c:pt idx="5">
                  <c:v>696.36144544000001</c:v>
                </c:pt>
                <c:pt idx="6">
                  <c:v>593.85946454999998</c:v>
                </c:pt>
                <c:pt idx="7">
                  <c:v>520.60198547000005</c:v>
                </c:pt>
                <c:pt idx="8">
                  <c:v>465.63601182999997</c:v>
                </c:pt>
                <c:pt idx="9">
                  <c:v>422.71116023000002</c:v>
                </c:pt>
                <c:pt idx="10">
                  <c:v>388.31710588999999</c:v>
                </c:pt>
                <c:pt idx="11">
                  <c:v>360.17083659999997</c:v>
                </c:pt>
                <c:pt idx="12">
                  <c:v>336.71170606999999</c:v>
                </c:pt>
                <c:pt idx="13">
                  <c:v>316.85889852999998</c:v>
                </c:pt>
                <c:pt idx="14">
                  <c:v>299.84018200000003</c:v>
                </c:pt>
                <c:pt idx="15">
                  <c:v>285.08911577999999</c:v>
                </c:pt>
                <c:pt idx="16">
                  <c:v>272.18078130999999</c:v>
                </c:pt>
                <c:pt idx="17">
                  <c:v>260.79018152999998</c:v>
                </c:pt>
                <c:pt idx="18">
                  <c:v>250.66450125</c:v>
                </c:pt>
                <c:pt idx="19">
                  <c:v>241.60412135000001</c:v>
                </c:pt>
                <c:pt idx="20">
                  <c:v>233.44932668000001</c:v>
                </c:pt>
                <c:pt idx="21">
                  <c:v>226.07080945000001</c:v>
                </c:pt>
                <c:pt idx="22">
                  <c:v>219.36276176000001</c:v>
                </c:pt>
                <c:pt idx="23">
                  <c:v>213.23776907999999</c:v>
                </c:pt>
                <c:pt idx="24">
                  <c:v>207.62297982000001</c:v>
                </c:pt>
                <c:pt idx="25">
                  <c:v>202.45719412</c:v>
                </c:pt>
                <c:pt idx="26">
                  <c:v>197.68862379999999</c:v>
                </c:pt>
                <c:pt idx="27">
                  <c:v>193.27315012</c:v>
                </c:pt>
                <c:pt idx="28">
                  <c:v>189.17295483000001</c:v>
                </c:pt>
                <c:pt idx="29">
                  <c:v>185.35543415000001</c:v>
                </c:pt>
                <c:pt idx="30">
                  <c:v>181.79233004</c:v>
                </c:pt>
                <c:pt idx="31">
                  <c:v>178.45902946999999</c:v>
                </c:pt>
                <c:pt idx="32">
                  <c:v>175.33399510000001</c:v>
                </c:pt>
                <c:pt idx="33">
                  <c:v>172.39829939000001</c:v>
                </c:pt>
                <c:pt idx="34">
                  <c:v>169.63524089000001</c:v>
                </c:pt>
                <c:pt idx="35">
                  <c:v>167.03002635000001</c:v>
                </c:pt>
                <c:pt idx="36">
                  <c:v>164.56950576</c:v>
                </c:pt>
                <c:pt idx="37">
                  <c:v>162.24195035</c:v>
                </c:pt>
                <c:pt idx="38">
                  <c:v>160.03686561000001</c:v>
                </c:pt>
                <c:pt idx="39">
                  <c:v>157.94483317000001</c:v>
                </c:pt>
                <c:pt idx="40">
                  <c:v>155.95737618999999</c:v>
                </c:pt>
                <c:pt idx="41">
                  <c:v>154.06684469999999</c:v>
                </c:pt>
                <c:pt idx="42">
                  <c:v>152.26631707999999</c:v>
                </c:pt>
                <c:pt idx="43">
                  <c:v>150.54951548</c:v>
                </c:pt>
                <c:pt idx="44">
                  <c:v>148.91073256999999</c:v>
                </c:pt>
                <c:pt idx="45">
                  <c:v>147.34476828999999</c:v>
                </c:pt>
                <c:pt idx="46">
                  <c:v>145.84687459</c:v>
                </c:pt>
                <c:pt idx="47">
                  <c:v>144.41270750999999</c:v>
                </c:pt>
                <c:pt idx="48">
                  <c:v>143.03828493</c:v>
                </c:pt>
                <c:pt idx="49">
                  <c:v>141.71994979999999</c:v>
                </c:pt>
                <c:pt idx="50">
                  <c:v>140.45433752</c:v>
                </c:pt>
                <c:pt idx="51">
                  <c:v>139.23834736000001</c:v>
                </c:pt>
                <c:pt idx="52">
                  <c:v>138.06911708000001</c:v>
                </c:pt>
                <c:pt idx="53">
                  <c:v>136.94400035999999</c:v>
                </c:pt>
                <c:pt idx="54">
                  <c:v>135.86054691000001</c:v>
                </c:pt>
                <c:pt idx="55">
                  <c:v>134.81648461</c:v>
                </c:pt>
                <c:pt idx="56">
                  <c:v>133.80970359</c:v>
                </c:pt>
                <c:pt idx="57">
                  <c:v>132.83824202</c:v>
                </c:pt>
                <c:pt idx="58">
                  <c:v>131.90027336</c:v>
                </c:pt>
                <c:pt idx="59">
                  <c:v>130.99409485000001</c:v>
                </c:pt>
                <c:pt idx="60">
                  <c:v>130.11811727</c:v>
                </c:pt>
                <c:pt idx="61">
                  <c:v>129.27085554000001</c:v>
                </c:pt>
                <c:pt idx="62">
                  <c:v>128.45092044</c:v>
                </c:pt>
                <c:pt idx="63">
                  <c:v>127.65701089</c:v>
                </c:pt>
                <c:pt idx="64">
                  <c:v>126.88790714</c:v>
                </c:pt>
                <c:pt idx="65">
                  <c:v>126.14246448999999</c:v>
                </c:pt>
                <c:pt idx="66">
                  <c:v>125.41960757</c:v>
                </c:pt>
                <c:pt idx="67">
                  <c:v>124.71832525000001</c:v>
                </c:pt>
                <c:pt idx="68">
                  <c:v>124.03766586</c:v>
                </c:pt>
                <c:pt idx="69">
                  <c:v>123.37673286</c:v>
                </c:pt>
                <c:pt idx="70">
                  <c:v>122.73468097999999</c:v>
                </c:pt>
                <c:pt idx="71">
                  <c:v>122.11071250000001</c:v>
                </c:pt>
                <c:pt idx="72">
                  <c:v>121.50407408</c:v>
                </c:pt>
                <c:pt idx="73">
                  <c:v>120.91405362</c:v>
                </c:pt>
                <c:pt idx="74">
                  <c:v>120.33997749</c:v>
                </c:pt>
                <c:pt idx="75">
                  <c:v>119.78120803</c:v>
                </c:pt>
                <c:pt idx="76">
                  <c:v>119.23714108</c:v>
                </c:pt>
                <c:pt idx="77">
                  <c:v>118.70720391</c:v>
                </c:pt>
                <c:pt idx="78">
                  <c:v>118.19085314</c:v>
                </c:pt>
                <c:pt idx="79">
                  <c:v>117.68757288</c:v>
                </c:pt>
                <c:pt idx="80">
                  <c:v>117.19687304999999</c:v>
                </c:pt>
                <c:pt idx="81">
                  <c:v>116.71828777</c:v>
                </c:pt>
                <c:pt idx="82">
                  <c:v>116.25137389</c:v>
                </c:pt>
                <c:pt idx="83">
                  <c:v>115.79570957999999</c:v>
                </c:pt>
              </c:numCache>
            </c:numRef>
          </c:yVal>
          <c:smooth val="0"/>
        </c:ser>
        <c:dLbls>
          <c:showLegendKey val="0"/>
          <c:showVal val="0"/>
          <c:showCatName val="0"/>
          <c:showSerName val="0"/>
          <c:showPercent val="0"/>
          <c:showBubbleSize val="0"/>
        </c:dLbls>
        <c:axId val="196046616"/>
        <c:axId val="196096472"/>
        <c:extLst/>
      </c:scatterChart>
      <c:valAx>
        <c:axId val="196046616"/>
        <c:scaling>
          <c:orientation val="minMax"/>
          <c:max val="90"/>
        </c:scaling>
        <c:delete val="0"/>
        <c:axPos val="b"/>
        <c:majorGridlines>
          <c:spPr>
            <a:ln w="6350" cap="flat" cmpd="sng" algn="ctr">
              <a:solidFill>
                <a:srgbClr val="EFEBEB"/>
              </a:solidFill>
              <a:prstDash val="solid"/>
              <a:round/>
            </a:ln>
            <a:effectLst/>
          </c:spPr>
        </c:majorGridlines>
        <c:title>
          <c:tx>
            <c:rich>
              <a:bodyPr rot="0" spcFirstLastPara="1" vertOverflow="ellipsis" vert="horz" wrap="square" anchor="ctr" anchorCtr="1"/>
              <a:lstStyle/>
              <a:p>
                <a:pPr>
                  <a:defRPr sz="900" b="1" i="0" u="none" strike="noStrike" kern="1200" baseline="0">
                    <a:solidFill>
                      <a:schemeClr val="tx1"/>
                    </a:solidFill>
                    <a:latin typeface="Arial"/>
                    <a:ea typeface="Arial"/>
                    <a:cs typeface="Arial"/>
                  </a:defRPr>
                </a:pPr>
                <a:r>
                  <a:rPr lang="en-US">
                    <a:solidFill>
                      <a:schemeClr val="tx1"/>
                    </a:solidFill>
                  </a:rPr>
                  <a:t>Capacity factor</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a:ea typeface="Arial"/>
                  <a:cs typeface="Arial"/>
                </a:defRPr>
              </a:pPr>
              <a:endParaRPr lang="en-US"/>
            </a:p>
          </c:txPr>
        </c:title>
        <c:numFmt formatCode="General" sourceLinked="1"/>
        <c:majorTickMark val="out"/>
        <c:minorTickMark val="none"/>
        <c:tickLblPos val="nextTo"/>
        <c:spPr>
          <a:noFill/>
          <a:ln w="6350" cap="flat" cmpd="sng" algn="ctr">
            <a:solidFill>
              <a:srgbClr val="948671"/>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a:ea typeface="Arial"/>
                <a:cs typeface="Arial"/>
              </a:defRPr>
            </a:pPr>
            <a:endParaRPr lang="en-US"/>
          </a:p>
        </c:txPr>
        <c:crossAx val="196096472"/>
        <c:crosses val="autoZero"/>
        <c:crossBetween val="midCat"/>
      </c:valAx>
      <c:valAx>
        <c:axId val="196096472"/>
        <c:scaling>
          <c:orientation val="minMax"/>
          <c:max val="500"/>
        </c:scaling>
        <c:delete val="0"/>
        <c:axPos val="l"/>
        <c:majorGridlines>
          <c:spPr>
            <a:ln w="6350" cap="flat" cmpd="sng" algn="ctr">
              <a:solidFill>
                <a:srgbClr val="EFEBEB"/>
              </a:solidFill>
              <a:prstDash val="solid"/>
              <a:round/>
            </a:ln>
            <a:effectLst/>
          </c:spPr>
        </c:majorGridlines>
        <c:title>
          <c:tx>
            <c:rich>
              <a:bodyPr rot="-5400000" spcFirstLastPara="1" vertOverflow="ellipsis" vert="horz" wrap="square" anchor="ctr" anchorCtr="1"/>
              <a:lstStyle/>
              <a:p>
                <a:pPr>
                  <a:defRPr sz="900" b="1" i="0" u="none" strike="noStrike" kern="1200" baseline="0">
                    <a:solidFill>
                      <a:schemeClr val="tx1"/>
                    </a:solidFill>
                    <a:latin typeface="Arial"/>
                    <a:ea typeface="Arial"/>
                    <a:cs typeface="Arial"/>
                  </a:defRPr>
                </a:pPr>
                <a:r>
                  <a:rPr lang="en-US">
                    <a:solidFill>
                      <a:schemeClr val="tx1"/>
                    </a:solidFill>
                  </a:rPr>
                  <a:t>South Australian estimated LCOE ($/MWh)</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1"/>
                  </a:solidFill>
                  <a:latin typeface="Arial"/>
                  <a:ea typeface="Arial"/>
                  <a:cs typeface="Arial"/>
                </a:defRPr>
              </a:pPr>
              <a:endParaRPr lang="en-US"/>
            </a:p>
          </c:txPr>
        </c:title>
        <c:numFmt formatCode="#,##0" sourceLinked="1"/>
        <c:majorTickMark val="out"/>
        <c:minorTickMark val="none"/>
        <c:tickLblPos val="nextTo"/>
        <c:spPr>
          <a:noFill/>
          <a:ln w="6350" cap="flat" cmpd="sng" algn="ctr">
            <a:solidFill>
              <a:srgbClr val="948671"/>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a:ea typeface="Arial"/>
                <a:cs typeface="Arial"/>
              </a:defRPr>
            </a:pPr>
            <a:endParaRPr lang="en-US"/>
          </a:p>
        </c:txPr>
        <c:crossAx val="196046616"/>
        <c:crosses val="autoZero"/>
        <c:crossBetween val="midCat"/>
      </c:valAx>
      <c:spPr>
        <a:noFill/>
        <a:ln>
          <a:noFill/>
        </a:ln>
        <a:effectLst/>
      </c:spPr>
    </c:plotArea>
    <c:legend>
      <c:legendPos val="b"/>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00" b="0" i="0" u="none" strike="noStrike" kern="1200" baseline="0">
              <a:solidFill>
                <a:schemeClr val="tx1"/>
              </a:solidFill>
              <a:latin typeface="Arial"/>
              <a:ea typeface="Arial"/>
              <a:cs typeface="Arial"/>
            </a:defRPr>
          </a:pPr>
          <a:endParaRPr lang="en-US"/>
        </a:p>
      </c:txPr>
    </c:legend>
    <c:plotVisOnly val="1"/>
    <c:dispBlanksAs val="gap"/>
    <c:showDLblsOverMax val="0"/>
  </c:chart>
  <c:spPr>
    <a:noFill/>
    <a:ln w="2540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15"/>
          <c:order val="0"/>
          <c:tx>
            <c:strRef>
              <c:f>'Figure 22'!$L$4</c:f>
              <c:strCache>
                <c:ptCount val="1"/>
                <c:pt idx="0">
                  <c:v>Wind (200 MW)</c:v>
                </c:pt>
              </c:strCache>
            </c:strRef>
          </c:tx>
          <c:spPr>
            <a:ln w="19050" cap="rnd">
              <a:solidFill>
                <a:srgbClr val="F37321"/>
              </a:solidFill>
              <a:round/>
            </a:ln>
            <a:effectLst/>
          </c:spPr>
          <c:marker>
            <c:symbol val="none"/>
          </c:marker>
          <c:xVal>
            <c:numRef>
              <c:f>'Figure 22'!$K$5:$K$95</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xVal>
          <c:yVal>
            <c:numRef>
              <c:f>'Figure 22'!$L$5:$L$95</c:f>
              <c:numCache>
                <c:formatCode>General</c:formatCode>
                <c:ptCount val="91"/>
                <c:pt idx="0">
                  <c:v>336436.55614263</c:v>
                </c:pt>
                <c:pt idx="1">
                  <c:v>3335.5064146700001</c:v>
                </c:pt>
                <c:pt idx="2">
                  <c:v>1678.2892793000001</c:v>
                </c:pt>
                <c:pt idx="3">
                  <c:v>1122.2131052899999</c:v>
                </c:pt>
                <c:pt idx="4">
                  <c:v>843.48165658999994</c:v>
                </c:pt>
                <c:pt idx="5">
                  <c:v>676.02024774999995</c:v>
                </c:pt>
                <c:pt idx="6">
                  <c:v>564.28642920000004</c:v>
                </c:pt>
                <c:pt idx="7">
                  <c:v>484.43101808</c:v>
                </c:pt>
                <c:pt idx="8">
                  <c:v>424.51453665999998</c:v>
                </c:pt>
                <c:pt idx="9">
                  <c:v>377.89805085</c:v>
                </c:pt>
                <c:pt idx="10">
                  <c:v>340.59554823000002</c:v>
                </c:pt>
                <c:pt idx="11">
                  <c:v>310.06915872000002</c:v>
                </c:pt>
                <c:pt idx="12">
                  <c:v>284.62626454999997</c:v>
                </c:pt>
                <c:pt idx="13">
                  <c:v>263.09465311999998</c:v>
                </c:pt>
                <c:pt idx="14">
                  <c:v>244.63679060000001</c:v>
                </c:pt>
                <c:pt idx="15">
                  <c:v>228.63833686000001</c:v>
                </c:pt>
                <c:pt idx="16">
                  <c:v>214.63844072000001</c:v>
                </c:pt>
                <c:pt idx="17">
                  <c:v>202.28462291</c:v>
                </c:pt>
                <c:pt idx="18">
                  <c:v>191.30268938</c:v>
                </c:pt>
                <c:pt idx="19">
                  <c:v>181.47614075000001</c:v>
                </c:pt>
                <c:pt idx="20">
                  <c:v>172.63175587999999</c:v>
                </c:pt>
                <c:pt idx="21">
                  <c:v>164.62929249000001</c:v>
                </c:pt>
                <c:pt idx="22">
                  <c:v>157.35399525</c:v>
                </c:pt>
                <c:pt idx="23">
                  <c:v>150.7110576</c:v>
                </c:pt>
                <c:pt idx="24">
                  <c:v>144.62146754</c:v>
                </c:pt>
                <c:pt idx="25">
                  <c:v>139.01884987</c:v>
                </c:pt>
                <c:pt idx="26">
                  <c:v>133.84703711</c:v>
                </c:pt>
                <c:pt idx="27">
                  <c:v>129.05817976</c:v>
                </c:pt>
                <c:pt idx="28">
                  <c:v>124.61126152</c:v>
                </c:pt>
                <c:pt idx="29">
                  <c:v>120.47092158</c:v>
                </c:pt>
                <c:pt idx="30">
                  <c:v>116.60651233</c:v>
                </c:pt>
                <c:pt idx="31">
                  <c:v>112.9913394</c:v>
                </c:pt>
                <c:pt idx="32">
                  <c:v>109.60204422</c:v>
                </c:pt>
                <c:pt idx="33">
                  <c:v>106.41809859999999</c:v>
                </c:pt>
                <c:pt idx="34">
                  <c:v>103.42138885</c:v>
                </c:pt>
                <c:pt idx="35">
                  <c:v>100.59587075</c:v>
                </c:pt>
                <c:pt idx="36">
                  <c:v>97.92728228</c:v>
                </c:pt>
                <c:pt idx="37">
                  <c:v>95.402902850000004</c:v>
                </c:pt>
                <c:pt idx="38">
                  <c:v>93.011350559999997</c:v>
                </c:pt>
                <c:pt idx="39">
                  <c:v>90.742410530000001</c:v>
                </c:pt>
                <c:pt idx="40">
                  <c:v>88.586889150000005</c:v>
                </c:pt>
                <c:pt idx="41">
                  <c:v>86.536489509999996</c:v>
                </c:pt>
                <c:pt idx="42">
                  <c:v>84.583704699999998</c:v>
                </c:pt>
              </c:numCache>
            </c:numRef>
          </c:yVal>
          <c:smooth val="0"/>
        </c:ser>
        <c:ser>
          <c:idx val="0"/>
          <c:order val="1"/>
          <c:tx>
            <c:strRef>
              <c:f>'Figure 22'!$M$4</c:f>
              <c:strCache>
                <c:ptCount val="1"/>
                <c:pt idx="0">
                  <c:v>Biomass</c:v>
                </c:pt>
              </c:strCache>
            </c:strRef>
          </c:tx>
          <c:spPr>
            <a:ln w="19050" cap="rnd">
              <a:solidFill>
                <a:srgbClr val="FFC222"/>
              </a:solidFill>
              <a:round/>
            </a:ln>
            <a:effectLst/>
          </c:spPr>
          <c:marker>
            <c:symbol val="none"/>
          </c:marker>
          <c:xVal>
            <c:numRef>
              <c:f>'Figure 22'!$K$5:$K$95</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xVal>
          <c:yVal>
            <c:numRef>
              <c:f>'Figure 22'!$M$5:$M$95</c:f>
              <c:numCache>
                <c:formatCode>0.0</c:formatCode>
                <c:ptCount val="91"/>
                <c:pt idx="0">
                  <c:v>773111.61520464998</c:v>
                </c:pt>
                <c:pt idx="1">
                  <c:v>7662.4791423300003</c:v>
                </c:pt>
                <c:pt idx="2">
                  <c:v>3854.28052699</c:v>
                </c:pt>
                <c:pt idx="3">
                  <c:v>2576.4464616400001</c:v>
                </c:pt>
                <c:pt idx="4">
                  <c:v>1935.93611857</c:v>
                </c:pt>
                <c:pt idx="5">
                  <c:v>1551.11852982</c:v>
                </c:pt>
                <c:pt idx="6">
                  <c:v>1294.3600378599999</c:v>
                </c:pt>
                <c:pt idx="7">
                  <c:v>1110.8564654199999</c:v>
                </c:pt>
                <c:pt idx="8">
                  <c:v>973.17151340999999</c:v>
                </c:pt>
                <c:pt idx="9">
                  <c:v>866.04925873000002</c:v>
                </c:pt>
                <c:pt idx="10">
                  <c:v>780.33005178999997</c:v>
                </c:pt>
                <c:pt idx="11">
                  <c:v>710.18199987000003</c:v>
                </c:pt>
                <c:pt idx="12">
                  <c:v>651.71555526999998</c:v>
                </c:pt>
                <c:pt idx="13">
                  <c:v>602.23703429</c:v>
                </c:pt>
                <c:pt idx="14">
                  <c:v>559.82182835000003</c:v>
                </c:pt>
                <c:pt idx="15">
                  <c:v>523.05821547000005</c:v>
                </c:pt>
                <c:pt idx="16">
                  <c:v>490.88718389000002</c:v>
                </c:pt>
                <c:pt idx="17">
                  <c:v>462.49875445999999</c:v>
                </c:pt>
                <c:pt idx="18">
                  <c:v>437.26284363000002</c:v>
                </c:pt>
                <c:pt idx="19">
                  <c:v>414.68194704000001</c:v>
                </c:pt>
                <c:pt idx="20">
                  <c:v>394.35801161000001</c:v>
                </c:pt>
                <c:pt idx="21">
                  <c:v>375.96876779000002</c:v>
                </c:pt>
                <c:pt idx="22">
                  <c:v>359.25051397999999</c:v>
                </c:pt>
                <c:pt idx="23">
                  <c:v>343.98538946999997</c:v>
                </c:pt>
                <c:pt idx="24">
                  <c:v>329.99182888000001</c:v>
                </c:pt>
                <c:pt idx="25">
                  <c:v>317.11730553000001</c:v>
                </c:pt>
                <c:pt idx="26">
                  <c:v>305.23274937000002</c:v>
                </c:pt>
                <c:pt idx="27">
                  <c:v>294.22820480000001</c:v>
                </c:pt>
                <c:pt idx="28">
                  <c:v>284.00941846000001</c:v>
                </c:pt>
                <c:pt idx="29">
                  <c:v>274.49513308000002</c:v>
                </c:pt>
                <c:pt idx="30">
                  <c:v>265.61492207999999</c:v>
                </c:pt>
                <c:pt idx="31">
                  <c:v>257.30744312000002</c:v>
                </c:pt>
                <c:pt idx="32">
                  <c:v>249.51901939000001</c:v>
                </c:pt>
                <c:pt idx="33">
                  <c:v>242.20247835000001</c:v>
                </c:pt>
                <c:pt idx="34">
                  <c:v>235.31619552999999</c:v>
                </c:pt>
                <c:pt idx="35">
                  <c:v>228.82330223</c:v>
                </c:pt>
                <c:pt idx="36">
                  <c:v>222.691025</c:v>
                </c:pt>
                <c:pt idx="37">
                  <c:v>216.89013265</c:v>
                </c:pt>
                <c:pt idx="38">
                  <c:v>211.39447014000001</c:v>
                </c:pt>
                <c:pt idx="39">
                  <c:v>206.18056422000001</c:v>
                </c:pt>
                <c:pt idx="40">
                  <c:v>201.22728844</c:v>
                </c:pt>
                <c:pt idx="41">
                  <c:v>196.51557692</c:v>
                </c:pt>
                <c:pt idx="42">
                  <c:v>192.02817923000001</c:v>
                </c:pt>
                <c:pt idx="43">
                  <c:v>187.74944919000001</c:v>
                </c:pt>
                <c:pt idx="44">
                  <c:v>183.6651627</c:v>
                </c:pt>
                <c:pt idx="45">
                  <c:v>179.76235969000001</c:v>
                </c:pt>
                <c:pt idx="46">
                  <c:v>176.02920689999999</c:v>
                </c:pt>
                <c:pt idx="47">
                  <c:v>172.45487788</c:v>
                </c:pt>
                <c:pt idx="48">
                  <c:v>169.02944823000001</c:v>
                </c:pt>
                <c:pt idx="49">
                  <c:v>165.74380350000001</c:v>
                </c:pt>
                <c:pt idx="50">
                  <c:v>162.58955827</c:v>
                </c:pt>
                <c:pt idx="51">
                  <c:v>159.55898468000001</c:v>
                </c:pt>
                <c:pt idx="52">
                  <c:v>156.64494922</c:v>
                </c:pt>
                <c:pt idx="53">
                  <c:v>153.84085661</c:v>
                </c:pt>
                <c:pt idx="54">
                  <c:v>151.14060006</c:v>
                </c:pt>
                <c:pt idx="55">
                  <c:v>148.5385168</c:v>
                </c:pt>
                <c:pt idx="56">
                  <c:v>146.02934848999999</c:v>
                </c:pt>
                <c:pt idx="57">
                  <c:v>143.60820573000001</c:v>
                </c:pt>
                <c:pt idx="58">
                  <c:v>141.27053627000001</c:v>
                </c:pt>
                <c:pt idx="59">
                  <c:v>139.01209641</c:v>
                </c:pt>
                <c:pt idx="60">
                  <c:v>136.82892533</c:v>
                </c:pt>
                <c:pt idx="61">
                  <c:v>134.7173219</c:v>
                </c:pt>
                <c:pt idx="62">
                  <c:v>132.67382370999999</c:v>
                </c:pt>
                <c:pt idx="63">
                  <c:v>130.69518821</c:v>
                </c:pt>
                <c:pt idx="64">
                  <c:v>128.77837539000001</c:v>
                </c:pt>
                <c:pt idx="65">
                  <c:v>126.92053236</c:v>
                </c:pt>
                <c:pt idx="66">
                  <c:v>125.11897906999999</c:v>
                </c:pt>
                <c:pt idx="67">
                  <c:v>123.37119547</c:v>
                </c:pt>
                <c:pt idx="68">
                  <c:v>121.67480972</c:v>
                </c:pt>
                <c:pt idx="69">
                  <c:v>120.02758743</c:v>
                </c:pt>
                <c:pt idx="70">
                  <c:v>118.42742192</c:v>
                </c:pt>
              </c:numCache>
            </c:numRef>
          </c:yVal>
          <c:smooth val="0"/>
        </c:ser>
        <c:ser>
          <c:idx val="7"/>
          <c:order val="2"/>
          <c:tx>
            <c:strRef>
              <c:f>'Figure 22'!$Q$4</c:f>
              <c:strCache>
                <c:ptCount val="1"/>
                <c:pt idx="0">
                  <c:v>Solar PV DAT</c:v>
                </c:pt>
              </c:strCache>
            </c:strRef>
          </c:tx>
          <c:spPr>
            <a:ln w="19050" cap="rnd">
              <a:solidFill>
                <a:srgbClr val="1E4164"/>
              </a:solidFill>
              <a:round/>
            </a:ln>
            <a:effectLst/>
          </c:spPr>
          <c:marker>
            <c:symbol val="none"/>
          </c:marker>
          <c:xVal>
            <c:numRef>
              <c:f>'Figure 22'!$K$5:$K$95</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xVal>
          <c:yVal>
            <c:numRef>
              <c:f>'Figure 22'!$Q$5:$Q$95</c:f>
              <c:numCache>
                <c:formatCode>General</c:formatCode>
                <c:ptCount val="91"/>
                <c:pt idx="0">
                  <c:v>312356.33301603998</c:v>
                </c:pt>
                <c:pt idx="1">
                  <c:v>3092.63328482</c:v>
                </c:pt>
                <c:pt idx="2">
                  <c:v>1554.00975307</c:v>
                </c:pt>
                <c:pt idx="3">
                  <c:v>1037.7274431799999</c:v>
                </c:pt>
                <c:pt idx="4">
                  <c:v>778.94254317000002</c:v>
                </c:pt>
                <c:pt idx="5">
                  <c:v>623.46498966000001</c:v>
                </c:pt>
                <c:pt idx="6">
                  <c:v>519.72705428999996</c:v>
                </c:pt>
                <c:pt idx="7">
                  <c:v>445.58624736000002</c:v>
                </c:pt>
                <c:pt idx="8">
                  <c:v>389.95750244999999</c:v>
                </c:pt>
                <c:pt idx="9">
                  <c:v>346.67698031999998</c:v>
                </c:pt>
                <c:pt idx="10">
                  <c:v>312.04391537999999</c:v>
                </c:pt>
                <c:pt idx="11">
                  <c:v>283.70205196000001</c:v>
                </c:pt>
                <c:pt idx="12">
                  <c:v>260.07989946999999</c:v>
                </c:pt>
                <c:pt idx="13">
                  <c:v>240.08913085</c:v>
                </c:pt>
                <c:pt idx="14">
                  <c:v>222.95214786</c:v>
                </c:pt>
                <c:pt idx="15">
                  <c:v>208.09857374000001</c:v>
                </c:pt>
                <c:pt idx="16">
                  <c:v>195.10053665000001</c:v>
                </c:pt>
                <c:pt idx="17">
                  <c:v>183.63078135999999</c:v>
                </c:pt>
                <c:pt idx="18">
                  <c:v>173.43473576</c:v>
                </c:pt>
                <c:pt idx="19">
                  <c:v>164.31139354000001</c:v>
                </c:pt>
                <c:pt idx="20">
                  <c:v>156.09992958000001</c:v>
                </c:pt>
                <c:pt idx="21">
                  <c:v>148.67013757999999</c:v>
                </c:pt>
                <c:pt idx="22">
                  <c:v>141.91547439000001</c:v>
                </c:pt>
                <c:pt idx="23">
                  <c:v>135.74791787000001</c:v>
                </c:pt>
                <c:pt idx="24">
                  <c:v>130.09411041000001</c:v>
                </c:pt>
                <c:pt idx="25">
                  <c:v>124.89242666</c:v>
                </c:pt>
                <c:pt idx="26">
                  <c:v>120.09071858999999</c:v>
                </c:pt>
                <c:pt idx="27">
                  <c:v>115.64456094000001</c:v>
                </c:pt>
                <c:pt idx="28">
                  <c:v>111.51587256000001</c:v>
                </c:pt>
                <c:pt idx="29">
                  <c:v>107.67182319</c:v>
                </c:pt>
                <c:pt idx="30">
                  <c:v>104.08395836</c:v>
                </c:pt>
                <c:pt idx="31">
                  <c:v>100.72749406</c:v>
                </c:pt>
                <c:pt idx="32">
                  <c:v>97.580743220000002</c:v>
                </c:pt>
              </c:numCache>
            </c:numRef>
          </c:yVal>
          <c:smooth val="0"/>
        </c:ser>
        <c:ser>
          <c:idx val="8"/>
          <c:order val="3"/>
          <c:tx>
            <c:strRef>
              <c:f>'Figure 22'!$R$4</c:f>
              <c:strCache>
                <c:ptCount val="1"/>
                <c:pt idx="0">
                  <c:v>Solar PV FFP</c:v>
                </c:pt>
              </c:strCache>
            </c:strRef>
          </c:tx>
          <c:spPr>
            <a:ln w="19050" cap="rnd">
              <a:solidFill>
                <a:srgbClr val="A9C398"/>
              </a:solidFill>
              <a:round/>
            </a:ln>
            <a:effectLst/>
          </c:spPr>
          <c:marker>
            <c:symbol val="none"/>
          </c:marker>
          <c:xVal>
            <c:numRef>
              <c:f>'Figure 22'!$K$5:$K$95</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xVal>
          <c:yVal>
            <c:numRef>
              <c:f>'Figure 22'!$R$5:$R$95</c:f>
              <c:numCache>
                <c:formatCode>0.0</c:formatCode>
                <c:ptCount val="91"/>
                <c:pt idx="0">
                  <c:v>210941.70951556999</c:v>
                </c:pt>
                <c:pt idx="1">
                  <c:v>2088.52929507</c:v>
                </c:pt>
                <c:pt idx="2">
                  <c:v>1049.45998934</c:v>
                </c:pt>
                <c:pt idx="3">
                  <c:v>700.80218563999995</c:v>
                </c:pt>
                <c:pt idx="4">
                  <c:v>526.03854734000004</c:v>
                </c:pt>
                <c:pt idx="5">
                  <c:v>421.04083330999998</c:v>
                </c:pt>
                <c:pt idx="6">
                  <c:v>350.98412206</c:v>
                </c:pt>
                <c:pt idx="7">
                  <c:v>300.91506020999998</c:v>
                </c:pt>
                <c:pt idx="8">
                  <c:v>263.34763701000003</c:v>
                </c:pt>
                <c:pt idx="9">
                  <c:v>234.11926428000001</c:v>
                </c:pt>
                <c:pt idx="10">
                  <c:v>210.73072640999999</c:v>
                </c:pt>
                <c:pt idx="11">
                  <c:v>191.59078754000001</c:v>
                </c:pt>
                <c:pt idx="12">
                  <c:v>175.63818244000001</c:v>
                </c:pt>
                <c:pt idx="13">
                  <c:v>162.13793781000001</c:v>
                </c:pt>
                <c:pt idx="14">
                  <c:v>150.56492294</c:v>
                </c:pt>
                <c:pt idx="15">
                  <c:v>140.53394874</c:v>
                </c:pt>
                <c:pt idx="16">
                  <c:v>131.75606311999999</c:v>
                </c:pt>
                <c:pt idx="17">
                  <c:v>124.01026278000001</c:v>
                </c:pt>
                <c:pt idx="18">
                  <c:v>117.12462910000001</c:v>
                </c:pt>
                <c:pt idx="19">
                  <c:v>110.96341768000001</c:v>
                </c:pt>
                <c:pt idx="20">
                  <c:v>105.41801949000001</c:v>
                </c:pt>
                <c:pt idx="21">
                  <c:v>100.40050307999999</c:v>
                </c:pt>
                <c:pt idx="22">
                  <c:v>95.838917319999993</c:v>
                </c:pt>
              </c:numCache>
            </c:numRef>
          </c:yVal>
          <c:smooth val="0"/>
        </c:ser>
        <c:ser>
          <c:idx val="9"/>
          <c:order val="4"/>
          <c:tx>
            <c:strRef>
              <c:f>'Figure 22'!$S$4</c:f>
              <c:strCache>
                <c:ptCount val="1"/>
                <c:pt idx="0">
                  <c:v>Solar PV SAT</c:v>
                </c:pt>
              </c:strCache>
            </c:strRef>
          </c:tx>
          <c:spPr>
            <a:ln w="19050" cap="rnd">
              <a:solidFill>
                <a:srgbClr val="CB7E80"/>
              </a:solidFill>
              <a:round/>
            </a:ln>
            <a:effectLst/>
          </c:spPr>
          <c:marker>
            <c:symbol val="none"/>
          </c:marker>
          <c:xVal>
            <c:numRef>
              <c:f>'Figure 22'!$K$5:$K$95</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xVal>
          <c:yVal>
            <c:numRef>
              <c:f>'Figure 22'!$S$5:$S$95</c:f>
              <c:numCache>
                <c:formatCode>General</c:formatCode>
                <c:ptCount val="91"/>
                <c:pt idx="0">
                  <c:v>249873.37251307</c:v>
                </c:pt>
                <c:pt idx="1">
                  <c:v>2473.9908468100002</c:v>
                </c:pt>
                <c:pt idx="2">
                  <c:v>1243.1496239200001</c:v>
                </c:pt>
                <c:pt idx="3">
                  <c:v>830.14310441999999</c:v>
                </c:pt>
                <c:pt idx="4">
                  <c:v>623.12487272999999</c:v>
                </c:pt>
                <c:pt idx="5">
                  <c:v>498.74865063999999</c:v>
                </c:pt>
                <c:pt idx="6">
                  <c:v>415.76218605000003</c:v>
                </c:pt>
                <c:pt idx="7">
                  <c:v>356.45231617000002</c:v>
                </c:pt>
                <c:pt idx="8">
                  <c:v>311.95140285000002</c:v>
                </c:pt>
                <c:pt idx="9">
                  <c:v>277.32860547000001</c:v>
                </c:pt>
                <c:pt idx="10">
                  <c:v>249.62345010000001</c:v>
                </c:pt>
                <c:pt idx="11">
                  <c:v>226.95102041999999</c:v>
                </c:pt>
                <c:pt idx="12">
                  <c:v>208.05418279</c:v>
                </c:pt>
                <c:pt idx="13">
                  <c:v>192.06231629999999</c:v>
                </c:pt>
                <c:pt idx="14">
                  <c:v>178.35337147999999</c:v>
                </c:pt>
                <c:pt idx="15">
                  <c:v>166.47106826000001</c:v>
                </c:pt>
                <c:pt idx="16">
                  <c:v>156.07312519999999</c:v>
                </c:pt>
                <c:pt idx="17">
                  <c:v>146.89775037000001</c:v>
                </c:pt>
                <c:pt idx="18">
                  <c:v>138.74129561999999</c:v>
                </c:pt>
                <c:pt idx="19">
                  <c:v>131.44296338999999</c:v>
                </c:pt>
                <c:pt idx="20">
                  <c:v>124.87409965000001</c:v>
                </c:pt>
                <c:pt idx="21">
                  <c:v>118.9305442</c:v>
                </c:pt>
                <c:pt idx="22">
                  <c:v>113.52706652000001</c:v>
                </c:pt>
                <c:pt idx="23">
                  <c:v>108.59325221</c:v>
                </c:pt>
                <c:pt idx="24">
                  <c:v>104.0704179</c:v>
                </c:pt>
                <c:pt idx="25">
                  <c:v>99.909265649999995</c:v>
                </c:pt>
                <c:pt idx="26">
                  <c:v>96.06807895</c:v>
                </c:pt>
                <c:pt idx="27">
                  <c:v>92.511319290000003</c:v>
                </c:pt>
                <c:pt idx="28">
                  <c:v>89.208523150000005</c:v>
                </c:pt>
              </c:numCache>
            </c:numRef>
          </c:yVal>
          <c:smooth val="0"/>
        </c:ser>
        <c:ser>
          <c:idx val="11"/>
          <c:order val="5"/>
          <c:tx>
            <c:strRef>
              <c:f>'Figure 22'!$T$4</c:f>
              <c:strCache>
                <c:ptCount val="1"/>
                <c:pt idx="0">
                  <c:v>Solar Thermal CR WS</c:v>
                </c:pt>
              </c:strCache>
            </c:strRef>
          </c:tx>
          <c:spPr>
            <a:ln w="19050" cap="rnd">
              <a:solidFill>
                <a:srgbClr val="948671"/>
              </a:solidFill>
              <a:round/>
            </a:ln>
            <a:effectLst/>
          </c:spPr>
          <c:marker>
            <c:symbol val="none"/>
          </c:marker>
          <c:xVal>
            <c:numRef>
              <c:f>'Figure 22'!$K$5:$K$95</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xVal>
          <c:yVal>
            <c:numRef>
              <c:f>'Figure 22'!$T$5:$T$95</c:f>
              <c:numCache>
                <c:formatCode>General</c:formatCode>
                <c:ptCount val="91"/>
                <c:pt idx="0">
                  <c:v>681001.85128049995</c:v>
                </c:pt>
                <c:pt idx="1">
                  <c:v>6748.2281374699996</c:v>
                </c:pt>
                <c:pt idx="2">
                  <c:v>3393.7365116199999</c:v>
                </c:pt>
                <c:pt idx="3">
                  <c:v>2268.1429863799999</c:v>
                </c:pt>
                <c:pt idx="4">
                  <c:v>1703.94273722</c:v>
                </c:pt>
                <c:pt idx="5">
                  <c:v>1364.9721310299999</c:v>
                </c:pt>
                <c:pt idx="6">
                  <c:v>1138.8037225</c:v>
                </c:pt>
                <c:pt idx="7">
                  <c:v>977.16267721999998</c:v>
                </c:pt>
                <c:pt idx="8">
                  <c:v>855.88144426999997</c:v>
                </c:pt>
                <c:pt idx="9">
                  <c:v>761.52168306999999</c:v>
                </c:pt>
                <c:pt idx="10">
                  <c:v>686.01502147999997</c:v>
                </c:pt>
                <c:pt idx="11">
                  <c:v>624.22437448999995</c:v>
                </c:pt>
                <c:pt idx="12">
                  <c:v>572.72359402999996</c:v>
                </c:pt>
                <c:pt idx="13">
                  <c:v>529.13992036000002</c:v>
                </c:pt>
                <c:pt idx="14">
                  <c:v>491.77804154</c:v>
                </c:pt>
                <c:pt idx="15">
                  <c:v>459.39442788999997</c:v>
                </c:pt>
                <c:pt idx="16">
                  <c:v>431.05623749</c:v>
                </c:pt>
                <c:pt idx="17">
                  <c:v>406.04999178999998</c:v>
                </c:pt>
                <c:pt idx="18">
                  <c:v>383.82067524000001</c:v>
                </c:pt>
                <c:pt idx="19">
                  <c:v>363.93005582000001</c:v>
                </c:pt>
                <c:pt idx="20">
                  <c:v>346.02750428000002</c:v>
                </c:pt>
                <c:pt idx="21">
                  <c:v>329.82914611000001</c:v>
                </c:pt>
                <c:pt idx="22">
                  <c:v>315.10269700999999</c:v>
                </c:pt>
                <c:pt idx="23">
                  <c:v>301.65625202000001</c:v>
                </c:pt>
                <c:pt idx="24">
                  <c:v>289.32987757000001</c:v>
                </c:pt>
                <c:pt idx="25">
                  <c:v>277.98921872</c:v>
                </c:pt>
                <c:pt idx="26">
                  <c:v>267.52058283999997</c:v>
                </c:pt>
                <c:pt idx="27">
                  <c:v>257.82711441999999</c:v>
                </c:pt>
                <c:pt idx="28">
                  <c:v>248.82578934</c:v>
                </c:pt>
                <c:pt idx="29">
                  <c:v>240.44503137000001</c:v>
                </c:pt>
                <c:pt idx="30">
                  <c:v>232.62280437000001</c:v>
                </c:pt>
                <c:pt idx="31">
                  <c:v>225.30507449999999</c:v>
                </c:pt>
                <c:pt idx="32">
                  <c:v>218.44455980000001</c:v>
                </c:pt>
                <c:pt idx="33">
                  <c:v>211.99970794999999</c:v>
                </c:pt>
                <c:pt idx="34">
                  <c:v>205.93385355000001</c:v>
                </c:pt>
                <c:pt idx="35">
                  <c:v>200.21452038999999</c:v>
                </c:pt>
                <c:pt idx="36">
                  <c:v>194.81283973999999</c:v>
                </c:pt>
                <c:pt idx="37">
                  <c:v>189.70306292000001</c:v>
                </c:pt>
                <c:pt idx="38">
                  <c:v>184.86215098</c:v>
                </c:pt>
                <c:pt idx="39">
                  <c:v>180.26942729999999</c:v>
                </c:pt>
                <c:pt idx="40">
                  <c:v>175.90628240999999</c:v>
                </c:pt>
                <c:pt idx="41">
                  <c:v>171.75592194999999</c:v>
                </c:pt>
                <c:pt idx="42">
                  <c:v>167.80315064999999</c:v>
                </c:pt>
                <c:pt idx="43">
                  <c:v>164.03418644000001</c:v>
                </c:pt>
                <c:pt idx="44">
                  <c:v>160.43649986</c:v>
                </c:pt>
                <c:pt idx="45">
                  <c:v>156.99867492999999</c:v>
                </c:pt>
                <c:pt idx="46">
                  <c:v>153.71028817000001</c:v>
                </c:pt>
                <c:pt idx="47">
                  <c:v>150.561803</c:v>
                </c:pt>
                <c:pt idx="48">
                  <c:v>147.54447737000001</c:v>
                </c:pt>
                <c:pt idx="49">
                  <c:v>144.65028276999999</c:v>
                </c:pt>
                <c:pt idx="50">
                  <c:v>141.87183279999999</c:v>
                </c:pt>
                <c:pt idx="51">
                  <c:v>139.2023203</c:v>
                </c:pt>
                <c:pt idx="52">
                  <c:v>136.63546160999999</c:v>
                </c:pt>
              </c:numCache>
            </c:numRef>
          </c:yVal>
          <c:smooth val="0"/>
        </c:ser>
        <c:ser>
          <c:idx val="18"/>
          <c:order val="6"/>
          <c:tx>
            <c:strRef>
              <c:f>'Figure 22'!$U$4</c:f>
              <c:strCache>
                <c:ptCount val="1"/>
                <c:pt idx="0">
                  <c:v>Wave/Ocean</c:v>
                </c:pt>
              </c:strCache>
            </c:strRef>
          </c:tx>
          <c:spPr>
            <a:ln w="19050" cap="rnd">
              <a:solidFill>
                <a:srgbClr val="BFB6AA"/>
              </a:solidFill>
              <a:round/>
            </a:ln>
            <a:effectLst/>
          </c:spPr>
          <c:marker>
            <c:symbol val="none"/>
          </c:marker>
          <c:yVal>
            <c:numRef>
              <c:f>'Figure 22'!$U$5:$U$95</c:f>
              <c:numCache>
                <c:formatCode>General</c:formatCode>
                <c:ptCount val="91"/>
                <c:pt idx="0">
                  <c:v>905271.49934172002</c:v>
                </c:pt>
                <c:pt idx="1">
                  <c:v>8982.86959948</c:v>
                </c:pt>
                <c:pt idx="2">
                  <c:v>4523.7304470199997</c:v>
                </c:pt>
                <c:pt idx="3">
                  <c:v>3027.4744737400001</c:v>
                </c:pt>
                <c:pt idx="4">
                  <c:v>2277.4808370699998</c:v>
                </c:pt>
                <c:pt idx="5">
                  <c:v>1826.88585681</c:v>
                </c:pt>
                <c:pt idx="6">
                  <c:v>1526.23929084</c:v>
                </c:pt>
                <c:pt idx="7">
                  <c:v>1311.36920551</c:v>
                </c:pt>
                <c:pt idx="8">
                  <c:v>1150.1495797699999</c:v>
                </c:pt>
                <c:pt idx="9">
                  <c:v>1024.7167734300001</c:v>
                </c:pt>
                <c:pt idx="10">
                  <c:v>924.34546710999996</c:v>
                </c:pt>
                <c:pt idx="11">
                  <c:v>842.20691414999999</c:v>
                </c:pt>
                <c:pt idx="12">
                  <c:v>773.74672109999995</c:v>
                </c:pt>
                <c:pt idx="13">
                  <c:v>715.81077059999996</c:v>
                </c:pt>
                <c:pt idx="14">
                  <c:v>666.14547613000002</c:v>
                </c:pt>
                <c:pt idx="15">
                  <c:v>623.09780966999995</c:v>
                </c:pt>
                <c:pt idx="16">
                  <c:v>585.42774010000005</c:v>
                </c:pt>
                <c:pt idx="17">
                  <c:v>552.18683825999994</c:v>
                </c:pt>
                <c:pt idx="18">
                  <c:v>522.63731923</c:v>
                </c:pt>
                <c:pt idx="19">
                  <c:v>496.19663949</c:v>
                </c:pt>
                <c:pt idx="20">
                  <c:v>472.39870652000002</c:v>
                </c:pt>
                <c:pt idx="21">
                  <c:v>450.86616451999998</c:v>
                </c:pt>
                <c:pt idx="22">
                  <c:v>431.29023689000002</c:v>
                </c:pt>
                <c:pt idx="23">
                  <c:v>413.41582421999999</c:v>
                </c:pt>
                <c:pt idx="24">
                  <c:v>397.0303255</c:v>
                </c:pt>
                <c:pt idx="25">
                  <c:v>381.95514255000001</c:v>
                </c:pt>
                <c:pt idx="26">
                  <c:v>368.03914318</c:v>
                </c:pt>
                <c:pt idx="27">
                  <c:v>355.15357691000003</c:v>
                </c:pt>
                <c:pt idx="28">
                  <c:v>343.18807975999999</c:v>
                </c:pt>
                <c:pt idx="29">
                  <c:v>332.04750474000002</c:v>
                </c:pt>
                <c:pt idx="30">
                  <c:v>321.64938733999998</c:v>
                </c:pt>
                <c:pt idx="31">
                  <c:v>311.92189981000001</c:v>
                </c:pt>
                <c:pt idx="32">
                  <c:v>302.80219033999998</c:v>
                </c:pt>
                <c:pt idx="33">
                  <c:v>294.23502310999999</c:v>
                </c:pt>
                <c:pt idx="34">
                  <c:v>286.17165872999999</c:v>
                </c:pt>
                <c:pt idx="35">
                  <c:v>278.56892640000001</c:v>
                </c:pt>
                <c:pt idx="36">
                  <c:v>271.38845077000002</c:v>
                </c:pt>
                <c:pt idx="37">
                  <c:v>264.59600412999998</c:v>
                </c:pt>
                <c:pt idx="38">
                  <c:v>258.16096059</c:v>
                </c:pt>
                <c:pt idx="39">
                  <c:v>252.05583469999999</c:v>
                </c:pt>
                <c:pt idx="40">
                  <c:v>246.25588882</c:v>
                </c:pt>
                <c:pt idx="41">
                  <c:v>240.73879812999999</c:v>
                </c:pt>
                <c:pt idx="42">
                  <c:v>235.48436351000001</c:v>
                </c:pt>
                <c:pt idx="43">
                  <c:v>230.47426442</c:v>
                </c:pt>
                <c:pt idx="44">
                  <c:v>225.69184529</c:v>
                </c:pt>
                <c:pt idx="45">
                  <c:v>221.12193094</c:v>
                </c:pt>
                <c:pt idx="46">
                  <c:v>216.75066532</c:v>
                </c:pt>
                <c:pt idx="47">
                  <c:v>212.56537143</c:v>
                </c:pt>
                <c:pt idx="48">
                  <c:v>208.55442847</c:v>
                </c:pt>
                <c:pt idx="49">
                  <c:v>204.70716407</c:v>
                </c:pt>
                <c:pt idx="50">
                  <c:v>201.01375948</c:v>
                </c:pt>
                <c:pt idx="51">
                  <c:v>197.46516586999999</c:v>
                </c:pt>
                <c:pt idx="52">
                  <c:v>194.05303039</c:v>
                </c:pt>
                <c:pt idx="53">
                  <c:v>190.76963047000001</c:v>
                </c:pt>
                <c:pt idx="54">
                  <c:v>187.60781542999999</c:v>
                </c:pt>
                <c:pt idx="55">
                  <c:v>184.56095457000001</c:v>
                </c:pt>
                <c:pt idx="56">
                  <c:v>181.62289072999999</c:v>
                </c:pt>
                <c:pt idx="57">
                  <c:v>178.78789881</c:v>
                </c:pt>
                <c:pt idx="58">
                  <c:v>176.05064834999999</c:v>
                </c:pt>
                <c:pt idx="59">
                  <c:v>173.40617032</c:v>
                </c:pt>
                <c:pt idx="60">
                  <c:v>170.84982687999999</c:v>
                </c:pt>
              </c:numCache>
            </c:numRef>
          </c:yVal>
          <c:smooth val="0"/>
        </c:ser>
        <c:ser>
          <c:idx val="2"/>
          <c:order val="7"/>
          <c:tx>
            <c:strRef>
              <c:f>'Figure 22'!$O$4</c:f>
              <c:strCache>
                <c:ptCount val="1"/>
                <c:pt idx="0">
                  <c:v>CCGT - Without CCS</c:v>
                </c:pt>
              </c:strCache>
            </c:strRef>
          </c:tx>
          <c:spPr>
            <a:ln w="12700" cap="rnd">
              <a:solidFill>
                <a:schemeClr val="tx1"/>
              </a:solidFill>
              <a:prstDash val="sysDash"/>
              <a:round/>
            </a:ln>
            <a:effectLst/>
          </c:spPr>
          <c:marker>
            <c:symbol val="none"/>
          </c:marker>
          <c:xVal>
            <c:numRef>
              <c:f>'Figure 22'!$K$5:$K$95</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xVal>
          <c:yVal>
            <c:numRef>
              <c:f>'Figure 22'!$O$5:$O$95</c:f>
              <c:numCache>
                <c:formatCode>0.0</c:formatCode>
                <c:ptCount val="91"/>
                <c:pt idx="0">
                  <c:v>151585.04786806001</c:v>
                </c:pt>
                <c:pt idx="1">
                  <c:v>1563.0179075399999</c:v>
                </c:pt>
                <c:pt idx="2">
                  <c:v>811.30736704000003</c:v>
                </c:pt>
                <c:pt idx="3">
                  <c:v>559.07227079999996</c:v>
                </c:pt>
                <c:pt idx="4">
                  <c:v>432.64021556</c:v>
                </c:pt>
                <c:pt idx="5">
                  <c:v>356.68003834000001</c:v>
                </c:pt>
                <c:pt idx="6">
                  <c:v>305.99779111999999</c:v>
                </c:pt>
                <c:pt idx="7">
                  <c:v>269.77552853999998</c:v>
                </c:pt>
                <c:pt idx="8">
                  <c:v>242.59752631000001</c:v>
                </c:pt>
                <c:pt idx="9">
                  <c:v>221.45237706</c:v>
                </c:pt>
                <c:pt idx="10">
                  <c:v>204.53203264000001</c:v>
                </c:pt>
                <c:pt idx="11">
                  <c:v>190.68532049000001</c:v>
                </c:pt>
                <c:pt idx="12">
                  <c:v>179.14447204999999</c:v>
                </c:pt>
                <c:pt idx="13">
                  <c:v>169.37777406999999</c:v>
                </c:pt>
                <c:pt idx="14">
                  <c:v>161.00532276999999</c:v>
                </c:pt>
                <c:pt idx="15">
                  <c:v>153.74845450999999</c:v>
                </c:pt>
                <c:pt idx="16">
                  <c:v>147.3981283</c:v>
                </c:pt>
                <c:pt idx="17">
                  <c:v>141.79446002</c:v>
                </c:pt>
                <c:pt idx="18">
                  <c:v>136.81307584999999</c:v>
                </c:pt>
                <c:pt idx="19">
                  <c:v>132.35577207</c:v>
                </c:pt>
                <c:pt idx="20">
                  <c:v>128.34397593</c:v>
                </c:pt>
                <c:pt idx="21">
                  <c:v>124.71407376000001</c:v>
                </c:pt>
                <c:pt idx="22">
                  <c:v>121.41401276000001</c:v>
                </c:pt>
                <c:pt idx="23">
                  <c:v>118.40078889</c:v>
                </c:pt>
                <c:pt idx="24">
                  <c:v>115.63856239</c:v>
                </c:pt>
                <c:pt idx="25">
                  <c:v>113.09722567</c:v>
                </c:pt>
                <c:pt idx="26">
                  <c:v>110.75130124</c:v>
                </c:pt>
                <c:pt idx="27">
                  <c:v>108.57908466000001</c:v>
                </c:pt>
                <c:pt idx="28">
                  <c:v>106.56197100999999</c:v>
                </c:pt>
                <c:pt idx="29">
                  <c:v>104.68392068999999</c:v>
                </c:pt>
                <c:pt idx="30">
                  <c:v>102.931032</c:v>
                </c:pt>
                <c:pt idx="31">
                  <c:v>101.29119643</c:v>
                </c:pt>
                <c:pt idx="32">
                  <c:v>99.753818570000007</c:v>
                </c:pt>
                <c:pt idx="33">
                  <c:v>98.309586899999999</c:v>
                </c:pt>
                <c:pt idx="34">
                  <c:v>96.950285059999999</c:v>
                </c:pt>
                <c:pt idx="35">
                  <c:v>95.668635420000001</c:v>
                </c:pt>
                <c:pt idx="36">
                  <c:v>94.45816877</c:v>
                </c:pt>
                <c:pt idx="37">
                  <c:v>93.313115069999995</c:v>
                </c:pt>
                <c:pt idx="38">
                  <c:v>92.228311489999996</c:v>
                </c:pt>
                <c:pt idx="39">
                  <c:v>91.199124609999998</c:v>
                </c:pt>
                <c:pt idx="40">
                  <c:v>90.221384200000003</c:v>
                </c:pt>
                <c:pt idx="41">
                  <c:v>89.291326830000003</c:v>
                </c:pt>
                <c:pt idx="42">
                  <c:v>88.405547350000006</c:v>
                </c:pt>
                <c:pt idx="43">
                  <c:v>87.560957349999995</c:v>
                </c:pt>
                <c:pt idx="44">
                  <c:v>86.754749079999996</c:v>
                </c:pt>
                <c:pt idx="45">
                  <c:v>85.984364319999997</c:v>
                </c:pt>
                <c:pt idx="46">
                  <c:v>85.247467270000001</c:v>
                </c:pt>
                <c:pt idx="47">
                  <c:v>84.541920880000006</c:v>
                </c:pt>
                <c:pt idx="48">
                  <c:v>83.865766129999997</c:v>
                </c:pt>
                <c:pt idx="49">
                  <c:v>83.217203900000001</c:v>
                </c:pt>
                <c:pt idx="50">
                  <c:v>82.594578970000001</c:v>
                </c:pt>
                <c:pt idx="51">
                  <c:v>81.996365909999994</c:v>
                </c:pt>
                <c:pt idx="52">
                  <c:v>81.421156640000007</c:v>
                </c:pt>
                <c:pt idx="53">
                  <c:v>80.867649270000001</c:v>
                </c:pt>
                <c:pt idx="54">
                  <c:v>80.334638380000001</c:v>
                </c:pt>
                <c:pt idx="55">
                  <c:v>79.821006190000006</c:v>
                </c:pt>
                <c:pt idx="56">
                  <c:v>79.325714719999993</c:v>
                </c:pt>
                <c:pt idx="57">
                  <c:v>78.847798850000004</c:v>
                </c:pt>
                <c:pt idx="58">
                  <c:v>78.386359999999996</c:v>
                </c:pt>
                <c:pt idx="59">
                  <c:v>77.940560500000004</c:v>
                </c:pt>
                <c:pt idx="60">
                  <c:v>77.509618500000002</c:v>
                </c:pt>
                <c:pt idx="61">
                  <c:v>77.092803430000004</c:v>
                </c:pt>
                <c:pt idx="62">
                  <c:v>76.689431839999997</c:v>
                </c:pt>
                <c:pt idx="63">
                  <c:v>76.298863670000003</c:v>
                </c:pt>
                <c:pt idx="64">
                  <c:v>75.920498850000001</c:v>
                </c:pt>
                <c:pt idx="65">
                  <c:v>75.553774230000002</c:v>
                </c:pt>
                <c:pt idx="66">
                  <c:v>75.198160790000003</c:v>
                </c:pt>
                <c:pt idx="67">
                  <c:v>74.85316109</c:v>
                </c:pt>
                <c:pt idx="68">
                  <c:v>74.518306949999996</c:v>
                </c:pt>
                <c:pt idx="69">
                  <c:v>74.193157319999997</c:v>
                </c:pt>
                <c:pt idx="70">
                  <c:v>73.877296360000003</c:v>
                </c:pt>
                <c:pt idx="71">
                  <c:v>73.570331640000006</c:v>
                </c:pt>
                <c:pt idx="72">
                  <c:v>73.271892530000002</c:v>
                </c:pt>
                <c:pt idx="73">
                  <c:v>72.981628709999995</c:v>
                </c:pt>
                <c:pt idx="74">
                  <c:v>72.699208799999994</c:v>
                </c:pt>
                <c:pt idx="75">
                  <c:v>72.424319080000004</c:v>
                </c:pt>
                <c:pt idx="76">
                  <c:v>72.156662350000005</c:v>
                </c:pt>
                <c:pt idx="77">
                  <c:v>71.895956850000005</c:v>
                </c:pt>
                <c:pt idx="78">
                  <c:v>71.641935239999995</c:v>
                </c:pt>
                <c:pt idx="79">
                  <c:v>71.394343750000004</c:v>
                </c:pt>
                <c:pt idx="80">
                  <c:v>71.152941260000006</c:v>
                </c:pt>
                <c:pt idx="81">
                  <c:v>70.917498600000002</c:v>
                </c:pt>
                <c:pt idx="82">
                  <c:v>70.687797739999993</c:v>
                </c:pt>
                <c:pt idx="83">
                  <c:v>70.463631179999993</c:v>
                </c:pt>
              </c:numCache>
            </c:numRef>
          </c:yVal>
          <c:smooth val="0"/>
        </c:ser>
        <c:ser>
          <c:idx val="1"/>
          <c:order val="8"/>
          <c:tx>
            <c:strRef>
              <c:f>'Figure 22'!$N$4</c:f>
              <c:strCache>
                <c:ptCount val="1"/>
                <c:pt idx="0">
                  <c:v>CCGT - With CCS</c:v>
                </c:pt>
              </c:strCache>
            </c:strRef>
          </c:tx>
          <c:spPr>
            <a:ln w="12700" cap="rnd">
              <a:solidFill>
                <a:srgbClr val="FF0000"/>
              </a:solidFill>
              <a:prstDash val="sysDash"/>
              <a:round/>
            </a:ln>
            <a:effectLst/>
          </c:spPr>
          <c:marker>
            <c:symbol val="none"/>
          </c:marker>
          <c:xVal>
            <c:numRef>
              <c:f>'Figure 22'!$K$5:$K$95</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xVal>
          <c:yVal>
            <c:numRef>
              <c:f>'Figure 22'!$N$5:$N$95</c:f>
              <c:numCache>
                <c:formatCode>General</c:formatCode>
                <c:ptCount val="91"/>
                <c:pt idx="0">
                  <c:v>308715.20246109</c:v>
                </c:pt>
                <c:pt idx="1">
                  <c:v>3136.1116137200002</c:v>
                </c:pt>
                <c:pt idx="2">
                  <c:v>1615.81952596</c:v>
                </c:pt>
                <c:pt idx="3">
                  <c:v>1105.6882980299999</c:v>
                </c:pt>
                <c:pt idx="4">
                  <c:v>849.98661119999997</c:v>
                </c:pt>
                <c:pt idx="5">
                  <c:v>696.36144544000001</c:v>
                </c:pt>
                <c:pt idx="6">
                  <c:v>593.85946454999998</c:v>
                </c:pt>
                <c:pt idx="7">
                  <c:v>520.60198547000005</c:v>
                </c:pt>
                <c:pt idx="8">
                  <c:v>465.63601182999997</c:v>
                </c:pt>
                <c:pt idx="9">
                  <c:v>422.71116023000002</c:v>
                </c:pt>
                <c:pt idx="10">
                  <c:v>388.31710588999999</c:v>
                </c:pt>
                <c:pt idx="11">
                  <c:v>360.17083659999997</c:v>
                </c:pt>
                <c:pt idx="12">
                  <c:v>336.71170606999999</c:v>
                </c:pt>
                <c:pt idx="13">
                  <c:v>316.85889852999998</c:v>
                </c:pt>
                <c:pt idx="14">
                  <c:v>299.84018200000003</c:v>
                </c:pt>
                <c:pt idx="15">
                  <c:v>285.08911577999999</c:v>
                </c:pt>
                <c:pt idx="16">
                  <c:v>272.18078130999999</c:v>
                </c:pt>
                <c:pt idx="17">
                  <c:v>260.79018152999998</c:v>
                </c:pt>
                <c:pt idx="18">
                  <c:v>250.66450125</c:v>
                </c:pt>
                <c:pt idx="19">
                  <c:v>241.60412135000001</c:v>
                </c:pt>
                <c:pt idx="20">
                  <c:v>233.44932668000001</c:v>
                </c:pt>
                <c:pt idx="21">
                  <c:v>226.07080945000001</c:v>
                </c:pt>
                <c:pt idx="22">
                  <c:v>219.36276176000001</c:v>
                </c:pt>
                <c:pt idx="23">
                  <c:v>213.23776907999999</c:v>
                </c:pt>
                <c:pt idx="24">
                  <c:v>207.62297982000001</c:v>
                </c:pt>
                <c:pt idx="25">
                  <c:v>202.45719412</c:v>
                </c:pt>
                <c:pt idx="26">
                  <c:v>197.68862379999999</c:v>
                </c:pt>
                <c:pt idx="27">
                  <c:v>193.27315012</c:v>
                </c:pt>
                <c:pt idx="28">
                  <c:v>189.17295483000001</c:v>
                </c:pt>
                <c:pt idx="29">
                  <c:v>185.35543415000001</c:v>
                </c:pt>
                <c:pt idx="30">
                  <c:v>181.79233004</c:v>
                </c:pt>
                <c:pt idx="31">
                  <c:v>178.45902946999999</c:v>
                </c:pt>
                <c:pt idx="32">
                  <c:v>175.33399510000001</c:v>
                </c:pt>
                <c:pt idx="33">
                  <c:v>172.39829939000001</c:v>
                </c:pt>
                <c:pt idx="34">
                  <c:v>169.63524089000001</c:v>
                </c:pt>
                <c:pt idx="35">
                  <c:v>167.03002635000001</c:v>
                </c:pt>
                <c:pt idx="36">
                  <c:v>164.56950576</c:v>
                </c:pt>
                <c:pt idx="37">
                  <c:v>162.24195035</c:v>
                </c:pt>
                <c:pt idx="38">
                  <c:v>160.03686561000001</c:v>
                </c:pt>
                <c:pt idx="39">
                  <c:v>157.94483317000001</c:v>
                </c:pt>
                <c:pt idx="40">
                  <c:v>155.95737618999999</c:v>
                </c:pt>
                <c:pt idx="41">
                  <c:v>154.06684469999999</c:v>
                </c:pt>
                <c:pt idx="42">
                  <c:v>152.26631707999999</c:v>
                </c:pt>
                <c:pt idx="43">
                  <c:v>150.54951548</c:v>
                </c:pt>
                <c:pt idx="44">
                  <c:v>148.91073256999999</c:v>
                </c:pt>
                <c:pt idx="45">
                  <c:v>147.34476828999999</c:v>
                </c:pt>
                <c:pt idx="46">
                  <c:v>145.84687459</c:v>
                </c:pt>
                <c:pt idx="47">
                  <c:v>144.41270750999999</c:v>
                </c:pt>
                <c:pt idx="48">
                  <c:v>143.03828493</c:v>
                </c:pt>
                <c:pt idx="49">
                  <c:v>141.71994979999999</c:v>
                </c:pt>
                <c:pt idx="50">
                  <c:v>140.45433752</c:v>
                </c:pt>
                <c:pt idx="51">
                  <c:v>139.23834736000001</c:v>
                </c:pt>
                <c:pt idx="52">
                  <c:v>138.06911708000001</c:v>
                </c:pt>
                <c:pt idx="53">
                  <c:v>136.94400035999999</c:v>
                </c:pt>
                <c:pt idx="54">
                  <c:v>135.86054691000001</c:v>
                </c:pt>
                <c:pt idx="55">
                  <c:v>134.81648461</c:v>
                </c:pt>
                <c:pt idx="56">
                  <c:v>133.80970359</c:v>
                </c:pt>
                <c:pt idx="57">
                  <c:v>132.83824202</c:v>
                </c:pt>
                <c:pt idx="58">
                  <c:v>131.90027336</c:v>
                </c:pt>
                <c:pt idx="59">
                  <c:v>130.99409485000001</c:v>
                </c:pt>
                <c:pt idx="60">
                  <c:v>130.11811727</c:v>
                </c:pt>
                <c:pt idx="61">
                  <c:v>129.27085554000001</c:v>
                </c:pt>
                <c:pt idx="62">
                  <c:v>128.45092044</c:v>
                </c:pt>
                <c:pt idx="63">
                  <c:v>127.65701089</c:v>
                </c:pt>
                <c:pt idx="64">
                  <c:v>126.88790714</c:v>
                </c:pt>
                <c:pt idx="65">
                  <c:v>126.14246448999999</c:v>
                </c:pt>
                <c:pt idx="66">
                  <c:v>125.41960757</c:v>
                </c:pt>
                <c:pt idx="67">
                  <c:v>124.71832525000001</c:v>
                </c:pt>
                <c:pt idx="68">
                  <c:v>124.03766586</c:v>
                </c:pt>
                <c:pt idx="69">
                  <c:v>123.37673286</c:v>
                </c:pt>
                <c:pt idx="70">
                  <c:v>122.73468097999999</c:v>
                </c:pt>
                <c:pt idx="71">
                  <c:v>122.11071250000001</c:v>
                </c:pt>
                <c:pt idx="72">
                  <c:v>121.50407408</c:v>
                </c:pt>
                <c:pt idx="73">
                  <c:v>120.91405362</c:v>
                </c:pt>
                <c:pt idx="74">
                  <c:v>120.33997749</c:v>
                </c:pt>
                <c:pt idx="75">
                  <c:v>119.78120803</c:v>
                </c:pt>
                <c:pt idx="76">
                  <c:v>119.23714108</c:v>
                </c:pt>
                <c:pt idx="77">
                  <c:v>118.70720391</c:v>
                </c:pt>
                <c:pt idx="78">
                  <c:v>118.19085314</c:v>
                </c:pt>
                <c:pt idx="79">
                  <c:v>117.68757288</c:v>
                </c:pt>
                <c:pt idx="80">
                  <c:v>117.19687304999999</c:v>
                </c:pt>
                <c:pt idx="81">
                  <c:v>116.71828777</c:v>
                </c:pt>
                <c:pt idx="82">
                  <c:v>116.25137389</c:v>
                </c:pt>
                <c:pt idx="83">
                  <c:v>115.79570957999999</c:v>
                </c:pt>
              </c:numCache>
            </c:numRef>
          </c:yVal>
          <c:smooth val="0"/>
        </c:ser>
        <c:ser>
          <c:idx val="6"/>
          <c:order val="9"/>
          <c:tx>
            <c:strRef>
              <c:f>'Figure 22'!$P$4</c:f>
              <c:strCache>
                <c:ptCount val="1"/>
                <c:pt idx="0">
                  <c:v>OCGT - Without CCS</c:v>
                </c:pt>
              </c:strCache>
            </c:strRef>
          </c:tx>
          <c:spPr>
            <a:ln w="12700" cap="rnd">
              <a:solidFill>
                <a:schemeClr val="tx1"/>
              </a:solidFill>
              <a:prstDash val="sysDot"/>
              <a:round/>
            </a:ln>
            <a:effectLst/>
          </c:spPr>
          <c:marker>
            <c:symbol val="none"/>
          </c:marker>
          <c:xVal>
            <c:numRef>
              <c:f>'Figure 22'!$K$5:$K$95</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xVal>
          <c:yVal>
            <c:numRef>
              <c:f>'Figure 22'!$P$5:$P$95</c:f>
              <c:numCache>
                <c:formatCode>0.0</c:formatCode>
                <c:ptCount val="91"/>
                <c:pt idx="0">
                  <c:v>105922.95673753</c:v>
                </c:pt>
                <c:pt idx="1">
                  <c:v>1141.4026628700001</c:v>
                </c:pt>
                <c:pt idx="2">
                  <c:v>619.58102457999996</c:v>
                </c:pt>
                <c:pt idx="3">
                  <c:v>444.48473037000002</c:v>
                </c:pt>
                <c:pt idx="4">
                  <c:v>356.71825884999998</c:v>
                </c:pt>
                <c:pt idx="5">
                  <c:v>303.98830306000002</c:v>
                </c:pt>
                <c:pt idx="6">
                  <c:v>268.80575341999997</c:v>
                </c:pt>
                <c:pt idx="7">
                  <c:v>243.66102125</c:v>
                </c:pt>
                <c:pt idx="8">
                  <c:v>224.79462412000001</c:v>
                </c:pt>
                <c:pt idx="9">
                  <c:v>210.1161065</c:v>
                </c:pt>
                <c:pt idx="10">
                  <c:v>198.37035969999999</c:v>
                </c:pt>
                <c:pt idx="11">
                  <c:v>188.75826357</c:v>
                </c:pt>
                <c:pt idx="12">
                  <c:v>180.74684945000001</c:v>
                </c:pt>
                <c:pt idx="13">
                  <c:v>173.96701329999999</c:v>
                </c:pt>
                <c:pt idx="14">
                  <c:v>168.15503380000001</c:v>
                </c:pt>
                <c:pt idx="15">
                  <c:v>163.11746864</c:v>
                </c:pt>
                <c:pt idx="16">
                  <c:v>158.70920579</c:v>
                </c:pt>
                <c:pt idx="17">
                  <c:v>154.81925723000001</c:v>
                </c:pt>
                <c:pt idx="18">
                  <c:v>151.36128518999999</c:v>
                </c:pt>
                <c:pt idx="19">
                  <c:v>148.26711872999999</c:v>
                </c:pt>
                <c:pt idx="20">
                  <c:v>145.48221427999999</c:v>
                </c:pt>
                <c:pt idx="21">
                  <c:v>142.96241258000001</c:v>
                </c:pt>
                <c:pt idx="22">
                  <c:v>140.67157968000001</c:v>
                </c:pt>
                <c:pt idx="23">
                  <c:v>138.57986310000001</c:v>
                </c:pt>
                <c:pt idx="24">
                  <c:v>136.66238361000001</c:v>
                </c:pt>
                <c:pt idx="25">
                  <c:v>134.89824116</c:v>
                </c:pt>
                <c:pt idx="26">
                  <c:v>133.2697498</c:v>
                </c:pt>
                <c:pt idx="27">
                  <c:v>131.76184275</c:v>
                </c:pt>
                <c:pt idx="28">
                  <c:v>130.36160491000001</c:v>
                </c:pt>
                <c:pt idx="29">
                  <c:v>129.05790189999999</c:v>
                </c:pt>
                <c:pt idx="30">
                  <c:v>127.84108347999999</c:v>
                </c:pt>
                <c:pt idx="31">
                  <c:v>126.70274413</c:v>
                </c:pt>
                <c:pt idx="32">
                  <c:v>125.63552878</c:v>
                </c:pt>
                <c:pt idx="33">
                  <c:v>124.63297356</c:v>
                </c:pt>
                <c:pt idx="34">
                  <c:v>123.68937483000001</c:v>
                </c:pt>
                <c:pt idx="35">
                  <c:v>122.79968063</c:v>
                </c:pt>
                <c:pt idx="36">
                  <c:v>121.95940014999999</c:v>
                </c:pt>
                <c:pt idx="37">
                  <c:v>121.16452796999999</c:v>
                </c:pt>
                <c:pt idx="38">
                  <c:v>120.41148015</c:v>
                </c:pt>
                <c:pt idx="39">
                  <c:v>119.69704028</c:v>
                </c:pt>
                <c:pt idx="40">
                  <c:v>119.01831348</c:v>
                </c:pt>
                <c:pt idx="41">
                  <c:v>118.37268722</c:v>
                </c:pt>
                <c:pt idx="42">
                  <c:v>117.75779777</c:v>
                </c:pt>
                <c:pt idx="43">
                  <c:v>117.17150115</c:v>
                </c:pt>
                <c:pt idx="44">
                  <c:v>116.61184833999999</c:v>
                </c:pt>
                <c:pt idx="45">
                  <c:v>116.07706346000001</c:v>
                </c:pt>
                <c:pt idx="46">
                  <c:v>115.56552504</c:v>
                </c:pt>
                <c:pt idx="47">
                  <c:v>115.07574957999999</c:v>
                </c:pt>
                <c:pt idx="48">
                  <c:v>114.60531096</c:v>
                </c:pt>
                <c:pt idx="49">
                  <c:v>114.15234089</c:v>
                </c:pt>
                <c:pt idx="50">
                  <c:v>113.71748601</c:v>
                </c:pt>
                <c:pt idx="51">
                  <c:v>113.29968092</c:v>
                </c:pt>
                <c:pt idx="52">
                  <c:v>112.89794216999999</c:v>
                </c:pt>
                <c:pt idx="53">
                  <c:v>112.51136049999999</c:v>
                </c:pt>
                <c:pt idx="54">
                  <c:v>112.13909402</c:v>
                </c:pt>
                <c:pt idx="55">
                  <c:v>111.78036204999999</c:v>
                </c:pt>
                <c:pt idx="56">
                  <c:v>111.43443965</c:v>
                </c:pt>
                <c:pt idx="57">
                  <c:v>111.10065274</c:v>
                </c:pt>
                <c:pt idx="58">
                  <c:v>110.77837375</c:v>
                </c:pt>
                <c:pt idx="59">
                  <c:v>110.46701761</c:v>
                </c:pt>
                <c:pt idx="60">
                  <c:v>110.16603828</c:v>
                </c:pt>
                <c:pt idx="61">
                  <c:v>109.87492551</c:v>
                </c:pt>
                <c:pt idx="62">
                  <c:v>109.59320196</c:v>
                </c:pt>
                <c:pt idx="63">
                  <c:v>109.32042060000001</c:v>
                </c:pt>
                <c:pt idx="64">
                  <c:v>109.05616232</c:v>
                </c:pt>
                <c:pt idx="65">
                  <c:v>108.80003382</c:v>
                </c:pt>
                <c:pt idx="66">
                  <c:v>108.55166560000001</c:v>
                </c:pt>
                <c:pt idx="67">
                  <c:v>108.31071025999999</c:v>
                </c:pt>
                <c:pt idx="68">
                  <c:v>108.0768408</c:v>
                </c:pt>
                <c:pt idx="69">
                  <c:v>107.84974918</c:v>
                </c:pt>
                <c:pt idx="70">
                  <c:v>107.62914497</c:v>
                </c:pt>
                <c:pt idx="71">
                  <c:v>107.41475409</c:v>
                </c:pt>
                <c:pt idx="72">
                  <c:v>107.20631768</c:v>
                </c:pt>
                <c:pt idx="73">
                  <c:v>107.00359107</c:v>
                </c:pt>
                <c:pt idx="74">
                  <c:v>106.80634282</c:v>
                </c:pt>
                <c:pt idx="75">
                  <c:v>106.61435382000001</c:v>
                </c:pt>
                <c:pt idx="76">
                  <c:v>106.42741650000001</c:v>
                </c:pt>
                <c:pt idx="77">
                  <c:v>106.24533407</c:v>
                </c:pt>
                <c:pt idx="78">
                  <c:v>106.06791982</c:v>
                </c:pt>
                <c:pt idx="79">
                  <c:v>105.8949965</c:v>
                </c:pt>
                <c:pt idx="80">
                  <c:v>105.72639572</c:v>
                </c:pt>
                <c:pt idx="81">
                  <c:v>105.56195741000001</c:v>
                </c:pt>
                <c:pt idx="82">
                  <c:v>105.40152930000001</c:v>
                </c:pt>
                <c:pt idx="83">
                  <c:v>105.24496646</c:v>
                </c:pt>
              </c:numCache>
            </c:numRef>
          </c:yVal>
          <c:smooth val="0"/>
        </c:ser>
        <c:ser>
          <c:idx val="14"/>
          <c:order val="10"/>
          <c:tx>
            <c:strRef>
              <c:f>'Figure 22'!$W$4</c:f>
              <c:strCache>
                <c:ptCount val="1"/>
                <c:pt idx="0">
                  <c:v>Supercritical PC - Black coal without CCS</c:v>
                </c:pt>
              </c:strCache>
            </c:strRef>
          </c:tx>
          <c:spPr>
            <a:ln w="12700" cap="rnd">
              <a:solidFill>
                <a:schemeClr val="tx1"/>
              </a:solidFill>
              <a:prstDash val="lgDashDotDot"/>
              <a:round/>
            </a:ln>
            <a:effectLst/>
          </c:spPr>
          <c:marker>
            <c:symbol val="none"/>
          </c:marker>
          <c:xVal>
            <c:numRef>
              <c:f>'Figure 22'!$K$5:$K$95</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xVal>
          <c:yVal>
            <c:numRef>
              <c:f>'Figure 22'!$W$5:$W$95</c:f>
              <c:numCache>
                <c:formatCode>General</c:formatCode>
                <c:ptCount val="91"/>
                <c:pt idx="0">
                  <c:v>511685.77433002001</c:v>
                </c:pt>
                <c:pt idx="1">
                  <c:v>5124.7027011399996</c:v>
                </c:pt>
                <c:pt idx="2">
                  <c:v>2604.50343574</c:v>
                </c:pt>
                <c:pt idx="3">
                  <c:v>1758.8551919700001</c:v>
                </c:pt>
                <c:pt idx="4">
                  <c:v>1327.70210333</c:v>
                </c:pt>
                <c:pt idx="5">
                  <c:v>1067.14094219</c:v>
                </c:pt>
                <c:pt idx="6">
                  <c:v>893.28898758000003</c:v>
                </c:pt>
                <c:pt idx="7">
                  <c:v>769.03816079000001</c:v>
                </c:pt>
                <c:pt idx="8">
                  <c:v>675.81126144999996</c:v>
                </c:pt>
                <c:pt idx="9">
                  <c:v>603.27845708999996</c:v>
                </c:pt>
                <c:pt idx="10">
                  <c:v>545.23772156999996</c:v>
                </c:pt>
                <c:pt idx="11">
                  <c:v>497.74026235999997</c:v>
                </c:pt>
                <c:pt idx="12">
                  <c:v>457.88659432999998</c:v>
                </c:pt>
                <c:pt idx="13">
                  <c:v>424.00551927999999</c:v>
                </c:pt>
                <c:pt idx="14">
                  <c:v>394.96114263999999</c:v>
                </c:pt>
                <c:pt idx="15">
                  <c:v>369.78676976000003</c:v>
                </c:pt>
                <c:pt idx="16">
                  <c:v>347.75722776999999</c:v>
                </c:pt>
                <c:pt idx="17">
                  <c:v>328.31787312</c:v>
                </c:pt>
                <c:pt idx="18">
                  <c:v>311.03724745</c:v>
                </c:pt>
                <c:pt idx="19">
                  <c:v>295.57467806</c:v>
                </c:pt>
                <c:pt idx="20">
                  <c:v>281.65759295999999</c:v>
                </c:pt>
                <c:pt idx="21">
                  <c:v>269.06531361999998</c:v>
                </c:pt>
                <c:pt idx="22">
                  <c:v>257.61726684000001</c:v>
                </c:pt>
                <c:pt idx="23">
                  <c:v>247.16426981999999</c:v>
                </c:pt>
                <c:pt idx="24">
                  <c:v>237.58199306</c:v>
                </c:pt>
                <c:pt idx="25">
                  <c:v>228.76599192</c:v>
                </c:pt>
                <c:pt idx="26">
                  <c:v>220.62788397</c:v>
                </c:pt>
                <c:pt idx="27">
                  <c:v>213.09237565999999</c:v>
                </c:pt>
                <c:pt idx="28">
                  <c:v>206.09492581000001</c:v>
                </c:pt>
                <c:pt idx="29">
                  <c:v>199.57989230999999</c:v>
                </c:pt>
                <c:pt idx="30">
                  <c:v>193.49904971000001</c:v>
                </c:pt>
                <c:pt idx="31">
                  <c:v>187.81039297000001</c:v>
                </c:pt>
                <c:pt idx="32">
                  <c:v>182.47716622999999</c:v>
                </c:pt>
                <c:pt idx="33">
                  <c:v>177.46706742000001</c:v>
                </c:pt>
                <c:pt idx="34">
                  <c:v>172.75159368000001</c:v>
                </c:pt>
                <c:pt idx="35">
                  <c:v>168.30549859000001</c:v>
                </c:pt>
                <c:pt idx="36">
                  <c:v>164.10634017999999</c:v>
                </c:pt>
                <c:pt idx="37">
                  <c:v>160.13410200000001</c:v>
                </c:pt>
                <c:pt idx="38">
                  <c:v>156.37087396999999</c:v>
                </c:pt>
                <c:pt idx="39">
                  <c:v>152.80058252000001</c:v>
                </c:pt>
                <c:pt idx="40">
                  <c:v>149.40876102999999</c:v>
                </c:pt>
                <c:pt idx="41">
                  <c:v>146.18235390999999</c:v>
                </c:pt>
                <c:pt idx="42">
                  <c:v>143.10954864999999</c:v>
                </c:pt>
                <c:pt idx="43">
                  <c:v>140.17963134999999</c:v>
                </c:pt>
                <c:pt idx="44">
                  <c:v>137.38286181000001</c:v>
                </c:pt>
                <c:pt idx="45">
                  <c:v>134.71036556000001</c:v>
                </c:pt>
                <c:pt idx="46">
                  <c:v>132.15403952</c:v>
                </c:pt>
                <c:pt idx="47">
                  <c:v>129.70647016999999</c:v>
                </c:pt>
                <c:pt idx="48">
                  <c:v>127.36086165</c:v>
                </c:pt>
                <c:pt idx="49">
                  <c:v>125.11097271</c:v>
                </c:pt>
                <c:pt idx="50">
                  <c:v>122.95106134</c:v>
                </c:pt>
                <c:pt idx="51">
                  <c:v>120.87583576</c:v>
                </c:pt>
                <c:pt idx="52">
                  <c:v>118.88041121000001</c:v>
                </c:pt>
                <c:pt idx="53">
                  <c:v>116.96027151</c:v>
                </c:pt>
                <c:pt idx="54">
                  <c:v>115.11123490999999</c:v>
                </c:pt>
                <c:pt idx="55">
                  <c:v>113.32942377000001</c:v>
                </c:pt>
                <c:pt idx="56">
                  <c:v>111.61123739</c:v>
                </c:pt>
                <c:pt idx="57">
                  <c:v>109.95332768999999</c:v>
                </c:pt>
                <c:pt idx="58">
                  <c:v>108.35257743</c:v>
                </c:pt>
                <c:pt idx="59">
                  <c:v>106.80608067999999</c:v>
                </c:pt>
                <c:pt idx="60">
                  <c:v>105.31112525</c:v>
                </c:pt>
                <c:pt idx="61">
                  <c:v>103.86517671</c:v>
                </c:pt>
                <c:pt idx="62">
                  <c:v>102.46586413999999</c:v>
                </c:pt>
                <c:pt idx="63">
                  <c:v>101.11096714999999</c:v>
                </c:pt>
                <c:pt idx="64">
                  <c:v>99.798404079999997</c:v>
                </c:pt>
                <c:pt idx="65">
                  <c:v>98.52622135</c:v>
                </c:pt>
                <c:pt idx="66">
                  <c:v>97.292583769999993</c:v>
                </c:pt>
                <c:pt idx="67">
                  <c:v>96.095765700000001</c:v>
                </c:pt>
                <c:pt idx="68">
                  <c:v>94.934142980000004</c:v>
                </c:pt>
                <c:pt idx="69">
                  <c:v>93.806185619999994</c:v>
                </c:pt>
                <c:pt idx="70">
                  <c:v>92.710451000000006</c:v>
                </c:pt>
                <c:pt idx="71">
                  <c:v>91.645577799999998</c:v>
                </c:pt>
                <c:pt idx="72">
                  <c:v>90.610280299999999</c:v>
                </c:pt>
                <c:pt idx="73">
                  <c:v>89.603343229999993</c:v>
                </c:pt>
                <c:pt idx="74">
                  <c:v>88.623616990000002</c:v>
                </c:pt>
                <c:pt idx="75">
                  <c:v>87.670013319999995</c:v>
                </c:pt>
                <c:pt idx="76">
                  <c:v>86.741501170000006</c:v>
                </c:pt>
                <c:pt idx="77">
                  <c:v>85.837103089999999</c:v>
                </c:pt>
                <c:pt idx="78">
                  <c:v>84.955891719999997</c:v>
                </c:pt>
                <c:pt idx="79">
                  <c:v>84.096986689999994</c:v>
                </c:pt>
                <c:pt idx="80">
                  <c:v>83.259551590000001</c:v>
                </c:pt>
                <c:pt idx="81">
                  <c:v>82.442791360000001</c:v>
                </c:pt>
                <c:pt idx="82">
                  <c:v>81.645949669999993</c:v>
                </c:pt>
                <c:pt idx="83">
                  <c:v>80.868306680000003</c:v>
                </c:pt>
              </c:numCache>
            </c:numRef>
          </c:yVal>
          <c:smooth val="0"/>
        </c:ser>
        <c:ser>
          <c:idx val="17"/>
          <c:order val="11"/>
          <c:tx>
            <c:strRef>
              <c:f>'Figure 22'!$X$4</c:f>
              <c:strCache>
                <c:ptCount val="1"/>
                <c:pt idx="0">
                  <c:v>Supercritical PC - Brown coal without CCS</c:v>
                </c:pt>
              </c:strCache>
            </c:strRef>
          </c:tx>
          <c:spPr>
            <a:ln w="12700" cap="rnd">
              <a:solidFill>
                <a:schemeClr val="tx1"/>
              </a:solidFill>
              <a:prstDash val="lgDashDot"/>
              <a:round/>
            </a:ln>
            <a:effectLst/>
          </c:spPr>
          <c:marker>
            <c:symbol val="none"/>
          </c:marker>
          <c:xVal>
            <c:numRef>
              <c:f>'Figure 22'!$K$5:$K$95</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xVal>
          <c:yVal>
            <c:numRef>
              <c:f>'Figure 22'!$X$5:$X$95</c:f>
              <c:numCache>
                <c:formatCode>General</c:formatCode>
                <c:ptCount val="91"/>
                <c:pt idx="0">
                  <c:v>670563.44609510002</c:v>
                </c:pt>
                <c:pt idx="1">
                  <c:v>6649.4214136099999</c:v>
                </c:pt>
                <c:pt idx="2">
                  <c:v>3346.3728344000001</c:v>
                </c:pt>
                <c:pt idx="3">
                  <c:v>2238.0409364400002</c:v>
                </c:pt>
                <c:pt idx="4">
                  <c:v>1682.49303205</c:v>
                </c:pt>
                <c:pt idx="5">
                  <c:v>1348.72073718</c:v>
                </c:pt>
                <c:pt idx="6">
                  <c:v>1126.0207553</c:v>
                </c:pt>
                <c:pt idx="7">
                  <c:v>966.85857081999995</c:v>
                </c:pt>
                <c:pt idx="8">
                  <c:v>847.43725719999998</c:v>
                </c:pt>
                <c:pt idx="9">
                  <c:v>754.52455884999995</c:v>
                </c:pt>
                <c:pt idx="10">
                  <c:v>680.17583625999998</c:v>
                </c:pt>
                <c:pt idx="11">
                  <c:v>619.33278545999997</c:v>
                </c:pt>
                <c:pt idx="12">
                  <c:v>568.62179946000003</c:v>
                </c:pt>
                <c:pt idx="13">
                  <c:v>525.70650753999996</c:v>
                </c:pt>
                <c:pt idx="14">
                  <c:v>488.91759516000002</c:v>
                </c:pt>
                <c:pt idx="15">
                  <c:v>457.03060340000002</c:v>
                </c:pt>
                <c:pt idx="16">
                  <c:v>429.12699574999999</c:v>
                </c:pt>
                <c:pt idx="17">
                  <c:v>404.50423575999997</c:v>
                </c:pt>
                <c:pt idx="18">
                  <c:v>382.61581887</c:v>
                </c:pt>
                <c:pt idx="19">
                  <c:v>363.03023377</c:v>
                </c:pt>
                <c:pt idx="20">
                  <c:v>345.40222849999998</c:v>
                </c:pt>
                <c:pt idx="21">
                  <c:v>329.45228171999997</c:v>
                </c:pt>
                <c:pt idx="22">
                  <c:v>314.95167132</c:v>
                </c:pt>
                <c:pt idx="23">
                  <c:v>301.71143563999999</c:v>
                </c:pt>
                <c:pt idx="24">
                  <c:v>289.57409338000002</c:v>
                </c:pt>
                <c:pt idx="25">
                  <c:v>278.40735024000003</c:v>
                </c:pt>
                <c:pt idx="26">
                  <c:v>268.09925707999997</c:v>
                </c:pt>
                <c:pt idx="27">
                  <c:v>258.55444369000003</c:v>
                </c:pt>
                <c:pt idx="28">
                  <c:v>249.69115930999999</c:v>
                </c:pt>
                <c:pt idx="29">
                  <c:v>241.43892517</c:v>
                </c:pt>
                <c:pt idx="30">
                  <c:v>233.73665672000001</c:v>
                </c:pt>
                <c:pt idx="31">
                  <c:v>226.53114851000001</c:v>
                </c:pt>
                <c:pt idx="32">
                  <c:v>219.77584390000001</c:v>
                </c:pt>
                <c:pt idx="33">
                  <c:v>213.42982764000001</c:v>
                </c:pt>
                <c:pt idx="34">
                  <c:v>207.45699675</c:v>
                </c:pt>
                <c:pt idx="35">
                  <c:v>201.82537295</c:v>
                </c:pt>
                <c:pt idx="36">
                  <c:v>196.50653023999999</c:v>
                </c:pt>
                <c:pt idx="37">
                  <c:v>191.47511488999999</c:v>
                </c:pt>
                <c:pt idx="38">
                  <c:v>186.70844119</c:v>
                </c:pt>
                <c:pt idx="39">
                  <c:v>182.18614962999999</c:v>
                </c:pt>
                <c:pt idx="40">
                  <c:v>177.88991614</c:v>
                </c:pt>
                <c:pt idx="41">
                  <c:v>173.80320391999999</c:v>
                </c:pt>
                <c:pt idx="42">
                  <c:v>169.91105071000001</c:v>
                </c:pt>
                <c:pt idx="43">
                  <c:v>166.19988581999999</c:v>
                </c:pt>
                <c:pt idx="44">
                  <c:v>162.65737186999999</c:v>
                </c:pt>
                <c:pt idx="45">
                  <c:v>159.27226804</c:v>
                </c:pt>
                <c:pt idx="46">
                  <c:v>156.03431062999999</c:v>
                </c:pt>
                <c:pt idx="47">
                  <c:v>152.93410933000001</c:v>
                </c:pt>
                <c:pt idx="48">
                  <c:v>149.96305619</c:v>
                </c:pt>
                <c:pt idx="49">
                  <c:v>147.11324576999999</c:v>
                </c:pt>
                <c:pt idx="50">
                  <c:v>144.37740499</c:v>
                </c:pt>
                <c:pt idx="51">
                  <c:v>141.74883102999999</c:v>
                </c:pt>
                <c:pt idx="52">
                  <c:v>139.22133664</c:v>
                </c:pt>
                <c:pt idx="53">
                  <c:v>136.78920142000001</c:v>
                </c:pt>
                <c:pt idx="54">
                  <c:v>134.44712859000001</c:v>
                </c:pt>
                <c:pt idx="55">
                  <c:v>132.19020655</c:v>
                </c:pt>
                <c:pt idx="56">
                  <c:v>130.01387448</c:v>
                </c:pt>
                <c:pt idx="57">
                  <c:v>127.91389157</c:v>
                </c:pt>
                <c:pt idx="58">
                  <c:v>125.88630936</c:v>
                </c:pt>
                <c:pt idx="59">
                  <c:v>123.92744711</c:v>
                </c:pt>
                <c:pt idx="60">
                  <c:v>122.03386938</c:v>
                </c:pt>
                <c:pt idx="61">
                  <c:v>120.202366</c:v>
                </c:pt>
                <c:pt idx="62">
                  <c:v>118.42993383</c:v>
                </c:pt>
                <c:pt idx="63">
                  <c:v>116.71376042999999</c:v>
                </c:pt>
                <c:pt idx="64">
                  <c:v>115.05120908000001</c:v>
                </c:pt>
                <c:pt idx="65">
                  <c:v>113.43980526999999</c:v>
                </c:pt>
                <c:pt idx="66">
                  <c:v>111.87722448</c:v>
                </c:pt>
                <c:pt idx="67">
                  <c:v>110.36128094</c:v>
                </c:pt>
                <c:pt idx="68">
                  <c:v>108.88991742</c:v>
                </c:pt>
                <c:pt idx="69">
                  <c:v>107.46119594</c:v>
                </c:pt>
                <c:pt idx="70">
                  <c:v>106.07328925</c:v>
                </c:pt>
                <c:pt idx="71">
                  <c:v>104.724473</c:v>
                </c:pt>
                <c:pt idx="72">
                  <c:v>103.41311867</c:v>
                </c:pt>
                <c:pt idx="73">
                  <c:v>102.13768693999999</c:v>
                </c:pt>
                <c:pt idx="74">
                  <c:v>100.89672167000001</c:v>
                </c:pt>
                <c:pt idx="75">
                  <c:v>99.688844410000002</c:v>
                </c:pt>
                <c:pt idx="76">
                  <c:v>98.512749200000002</c:v>
                </c:pt>
                <c:pt idx="77">
                  <c:v>97.367197959999999</c:v>
                </c:pt>
                <c:pt idx="78">
                  <c:v>96.251016059999998</c:v>
                </c:pt>
                <c:pt idx="79">
                  <c:v>95.163088349999995</c:v>
                </c:pt>
                <c:pt idx="80">
                  <c:v>94.102355430000003</c:v>
                </c:pt>
                <c:pt idx="81">
                  <c:v>93.067810219999998</c:v>
                </c:pt>
                <c:pt idx="82">
                  <c:v>92.05849474</c:v>
                </c:pt>
                <c:pt idx="83">
                  <c:v>91.073497189999998</c:v>
                </c:pt>
              </c:numCache>
            </c:numRef>
          </c:yVal>
          <c:smooth val="0"/>
        </c:ser>
        <c:ser>
          <c:idx val="19"/>
          <c:order val="12"/>
          <c:tx>
            <c:strRef>
              <c:f>'Figure 22'!$V$4</c:f>
              <c:strCache>
                <c:ptCount val="1"/>
                <c:pt idx="0">
                  <c:v>Supercritical PC - Black coal with CCS</c:v>
                </c:pt>
              </c:strCache>
            </c:strRef>
          </c:tx>
          <c:spPr>
            <a:ln w="12700" cap="rnd">
              <a:solidFill>
                <a:srgbClr val="FF0000"/>
              </a:solidFill>
              <a:prstDash val="lgDashDotDot"/>
              <a:round/>
            </a:ln>
            <a:effectLst/>
          </c:spPr>
          <c:marker>
            <c:symbol val="none"/>
          </c:marker>
          <c:xVal>
            <c:numRef>
              <c:f>'Figure 22'!$K$5:$K$95</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xVal>
          <c:yVal>
            <c:numRef>
              <c:f>'Figure 22'!$V$5:$V$95</c:f>
              <c:numCache>
                <c:formatCode>0.0</c:formatCode>
                <c:ptCount val="91"/>
                <c:pt idx="0">
                  <c:v>1105844.5731249</c:v>
                </c:pt>
                <c:pt idx="1">
                  <c:v>11053.699684519999</c:v>
                </c:pt>
                <c:pt idx="2">
                  <c:v>5606.9898808600001</c:v>
                </c:pt>
                <c:pt idx="3">
                  <c:v>3779.3563905199999</c:v>
                </c:pt>
                <c:pt idx="4">
                  <c:v>2851.79542515</c:v>
                </c:pt>
                <c:pt idx="5">
                  <c:v>2292.56324709</c:v>
                </c:pt>
                <c:pt idx="6">
                  <c:v>1919.43163063</c:v>
                </c:pt>
                <c:pt idx="7">
                  <c:v>1652.7569651199999</c:v>
                </c:pt>
                <c:pt idx="8">
                  <c:v>1452.6677356099999</c:v>
                </c:pt>
                <c:pt idx="9">
                  <c:v>1296.99342871</c:v>
                </c:pt>
                <c:pt idx="10">
                  <c:v>1172.42287953</c:v>
                </c:pt>
                <c:pt idx="11">
                  <c:v>1070.4809498499999</c:v>
                </c:pt>
                <c:pt idx="12">
                  <c:v>985.51519447999999</c:v>
                </c:pt>
                <c:pt idx="13">
                  <c:v>913.61104745</c:v>
                </c:pt>
                <c:pt idx="14">
                  <c:v>851.97158868999998</c:v>
                </c:pt>
                <c:pt idx="15">
                  <c:v>798.54524948000005</c:v>
                </c:pt>
                <c:pt idx="16">
                  <c:v>751.79303088999995</c:v>
                </c:pt>
                <c:pt idx="17">
                  <c:v>710.53784012000006</c:v>
                </c:pt>
                <c:pt idx="18">
                  <c:v>673.86401418000003</c:v>
                </c:pt>
                <c:pt idx="19">
                  <c:v>641.04856009000002</c:v>
                </c:pt>
                <c:pt idx="20">
                  <c:v>611.51301164999995</c:v>
                </c:pt>
                <c:pt idx="21">
                  <c:v>584.78903362000005</c:v>
                </c:pt>
                <c:pt idx="22">
                  <c:v>560.49340434999999</c:v>
                </c:pt>
                <c:pt idx="23">
                  <c:v>538.30952046000004</c:v>
                </c:pt>
                <c:pt idx="24">
                  <c:v>517.97352357</c:v>
                </c:pt>
                <c:pt idx="25">
                  <c:v>499.26375590999999</c:v>
                </c:pt>
                <c:pt idx="26">
                  <c:v>481.99264778999998</c:v>
                </c:pt>
                <c:pt idx="27">
                  <c:v>466.00040739000002</c:v>
                </c:pt>
                <c:pt idx="28">
                  <c:v>451.15006210000001</c:v>
                </c:pt>
                <c:pt idx="29">
                  <c:v>437.32352543000002</c:v>
                </c:pt>
                <c:pt idx="30">
                  <c:v>424.41845085</c:v>
                </c:pt>
                <c:pt idx="31">
                  <c:v>412.34569312999997</c:v>
                </c:pt>
                <c:pt idx="32">
                  <c:v>401.02724708</c:v>
                </c:pt>
                <c:pt idx="33">
                  <c:v>390.39455963</c:v>
                </c:pt>
                <c:pt idx="34">
                  <c:v>380.38714055000003</c:v>
                </c:pt>
                <c:pt idx="35">
                  <c:v>370.95141059999997</c:v>
                </c:pt>
                <c:pt idx="36">
                  <c:v>362.03974225000002</c:v>
                </c:pt>
                <c:pt idx="37">
                  <c:v>353.60965562000001</c:v>
                </c:pt>
                <c:pt idx="38">
                  <c:v>345.62314098000002</c:v>
                </c:pt>
                <c:pt idx="39">
                  <c:v>338.04608622000001</c:v>
                </c:pt>
                <c:pt idx="40">
                  <c:v>330.84778949999998</c:v>
                </c:pt>
                <c:pt idx="41">
                  <c:v>324.00054360000001</c:v>
                </c:pt>
                <c:pt idx="42">
                  <c:v>317.47927941</c:v>
                </c:pt>
                <c:pt idx="43">
                  <c:v>311.26125936</c:v>
                </c:pt>
                <c:pt idx="44">
                  <c:v>305.32581226999997</c:v>
                </c:pt>
                <c:pt idx="45">
                  <c:v>299.65410429999997</c:v>
                </c:pt>
                <c:pt idx="46">
                  <c:v>294.22893868</c:v>
                </c:pt>
                <c:pt idx="47">
                  <c:v>289.03458207</c:v>
                </c:pt>
                <c:pt idx="48">
                  <c:v>284.05661192999997</c:v>
                </c:pt>
                <c:pt idx="49">
                  <c:v>279.28178278000001</c:v>
                </c:pt>
                <c:pt idx="50">
                  <c:v>274.69790861000001</c:v>
                </c:pt>
                <c:pt idx="51">
                  <c:v>270.29375894999998</c:v>
                </c:pt>
                <c:pt idx="52">
                  <c:v>266.05896709000001</c:v>
                </c:pt>
                <c:pt idx="53">
                  <c:v>261.98394860000002</c:v>
                </c:pt>
                <c:pt idx="54">
                  <c:v>258.05982874</c:v>
                </c:pt>
                <c:pt idx="55">
                  <c:v>254.27837819000001</c:v>
                </c:pt>
                <c:pt idx="56">
                  <c:v>250.63195533999999</c:v>
                </c:pt>
                <c:pt idx="57">
                  <c:v>247.11345474000001</c:v>
                </c:pt>
                <c:pt idx="58">
                  <c:v>243.71626082</c:v>
                </c:pt>
                <c:pt idx="59">
                  <c:v>240.43420649000001</c:v>
                </c:pt>
                <c:pt idx="60">
                  <c:v>237.26153575000001</c:v>
                </c:pt>
                <c:pt idx="61">
                  <c:v>234.19286994000001</c:v>
                </c:pt>
                <c:pt idx="62">
                  <c:v>231.22317738000001</c:v>
                </c:pt>
                <c:pt idx="63">
                  <c:v>228.34774583000001</c:v>
                </c:pt>
                <c:pt idx="64">
                  <c:v>225.56215748</c:v>
                </c:pt>
                <c:pt idx="65">
                  <c:v>222.86226633999999</c:v>
                </c:pt>
                <c:pt idx="66">
                  <c:v>220.24417769999999</c:v>
                </c:pt>
                <c:pt idx="67">
                  <c:v>217.70422929</c:v>
                </c:pt>
                <c:pt idx="68">
                  <c:v>215.23897425999999</c:v>
                </c:pt>
                <c:pt idx="69">
                  <c:v>212.84516556</c:v>
                </c:pt>
                <c:pt idx="70">
                  <c:v>210.51974163</c:v>
                </c:pt>
                <c:pt idx="71">
                  <c:v>208.25981335</c:v>
                </c:pt>
                <c:pt idx="72">
                  <c:v>206.06265214000001</c:v>
                </c:pt>
                <c:pt idx="73">
                  <c:v>203.92567889</c:v>
                </c:pt>
                <c:pt idx="74">
                  <c:v>201.84645387</c:v>
                </c:pt>
                <c:pt idx="75">
                  <c:v>199.82266747</c:v>
                </c:pt>
                <c:pt idx="76">
                  <c:v>197.85213157999999</c:v>
                </c:pt>
                <c:pt idx="77">
                  <c:v>195.93277180999999</c:v>
                </c:pt>
                <c:pt idx="78">
                  <c:v>194.06262006</c:v>
                </c:pt>
                <c:pt idx="79">
                  <c:v>192.23980796999999</c:v>
                </c:pt>
                <c:pt idx="80">
                  <c:v>190.46256045000001</c:v>
                </c:pt>
                <c:pt idx="81">
                  <c:v>188.72919017999999</c:v>
                </c:pt>
                <c:pt idx="82">
                  <c:v>187.03809208000001</c:v>
                </c:pt>
                <c:pt idx="83">
                  <c:v>185.38773842000001</c:v>
                </c:pt>
              </c:numCache>
            </c:numRef>
          </c:yVal>
          <c:smooth val="0"/>
        </c:ser>
        <c:dLbls>
          <c:showLegendKey val="0"/>
          <c:showVal val="0"/>
          <c:showCatName val="0"/>
          <c:showSerName val="0"/>
          <c:showPercent val="0"/>
          <c:showBubbleSize val="0"/>
        </c:dLbls>
        <c:axId val="196661008"/>
        <c:axId val="196661400"/>
        <c:extLst/>
      </c:scatterChart>
      <c:valAx>
        <c:axId val="196661008"/>
        <c:scaling>
          <c:orientation val="minMax"/>
          <c:max val="90"/>
        </c:scaling>
        <c:delete val="0"/>
        <c:axPos val="b"/>
        <c:majorGridlines>
          <c:spPr>
            <a:ln w="6350" cap="flat" cmpd="sng" algn="ctr">
              <a:solidFill>
                <a:srgbClr val="EFEBEB"/>
              </a:solidFill>
              <a:prstDash val="solid"/>
              <a:round/>
            </a:ln>
            <a:effectLst/>
          </c:spPr>
        </c:majorGridlines>
        <c:title>
          <c:tx>
            <c:rich>
              <a:bodyPr rot="0" spcFirstLastPara="1" vertOverflow="ellipsis" vert="horz" wrap="square" anchor="ctr" anchorCtr="1"/>
              <a:lstStyle/>
              <a:p>
                <a:pPr>
                  <a:defRPr sz="900" b="1" i="0" u="none" strike="noStrike" kern="1200" baseline="0">
                    <a:solidFill>
                      <a:schemeClr val="tx1"/>
                    </a:solidFill>
                    <a:latin typeface="Arial"/>
                    <a:ea typeface="Arial"/>
                    <a:cs typeface="Arial"/>
                  </a:defRPr>
                </a:pPr>
                <a:r>
                  <a:rPr lang="en-US">
                    <a:solidFill>
                      <a:schemeClr val="tx1"/>
                    </a:solidFill>
                  </a:rPr>
                  <a:t>Capacity factor</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a:ea typeface="Arial"/>
                  <a:cs typeface="Arial"/>
                </a:defRPr>
              </a:pPr>
              <a:endParaRPr lang="en-US"/>
            </a:p>
          </c:txPr>
        </c:title>
        <c:numFmt formatCode="General" sourceLinked="1"/>
        <c:majorTickMark val="out"/>
        <c:minorTickMark val="none"/>
        <c:tickLblPos val="nextTo"/>
        <c:spPr>
          <a:noFill/>
          <a:ln w="6350" cap="flat" cmpd="sng" algn="ctr">
            <a:solidFill>
              <a:srgbClr val="948671"/>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Arial"/>
                <a:ea typeface="Arial"/>
                <a:cs typeface="Arial"/>
              </a:defRPr>
            </a:pPr>
            <a:endParaRPr lang="en-US"/>
          </a:p>
        </c:txPr>
        <c:crossAx val="196661400"/>
        <c:crosses val="autoZero"/>
        <c:crossBetween val="midCat"/>
      </c:valAx>
      <c:valAx>
        <c:axId val="196661400"/>
        <c:scaling>
          <c:orientation val="minMax"/>
          <c:max val="500"/>
        </c:scaling>
        <c:delete val="0"/>
        <c:axPos val="l"/>
        <c:majorGridlines>
          <c:spPr>
            <a:ln w="6350" cap="flat" cmpd="sng" algn="ctr">
              <a:solidFill>
                <a:srgbClr val="EFEBEB"/>
              </a:solidFill>
              <a:prstDash val="solid"/>
              <a:round/>
            </a:ln>
            <a:effectLst/>
          </c:spPr>
        </c:majorGridlines>
        <c:title>
          <c:tx>
            <c:rich>
              <a:bodyPr rot="-5400000" spcFirstLastPara="1" vertOverflow="ellipsis" vert="horz" wrap="square" anchor="ctr" anchorCtr="1"/>
              <a:lstStyle/>
              <a:p>
                <a:pPr>
                  <a:defRPr sz="900" b="1" i="0" u="none" strike="noStrike" kern="1200" baseline="0">
                    <a:solidFill>
                      <a:schemeClr val="tx1"/>
                    </a:solidFill>
                    <a:latin typeface="Arial"/>
                    <a:ea typeface="Arial"/>
                    <a:cs typeface="Arial"/>
                  </a:defRPr>
                </a:pPr>
                <a:r>
                  <a:rPr lang="en-US">
                    <a:solidFill>
                      <a:schemeClr val="tx1"/>
                    </a:solidFill>
                  </a:rPr>
                  <a:t>NEM LCOE ($/MWh)</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1"/>
                  </a:solidFill>
                  <a:latin typeface="Arial"/>
                  <a:ea typeface="Arial"/>
                  <a:cs typeface="Arial"/>
                </a:defRPr>
              </a:pPr>
              <a:endParaRPr lang="en-US"/>
            </a:p>
          </c:txPr>
        </c:title>
        <c:numFmt formatCode="#,##0" sourceLinked="0"/>
        <c:majorTickMark val="out"/>
        <c:minorTickMark val="none"/>
        <c:tickLblPos val="nextTo"/>
        <c:spPr>
          <a:noFill/>
          <a:ln w="6350" cap="flat" cmpd="sng" algn="ctr">
            <a:solidFill>
              <a:srgbClr val="948671"/>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Arial"/>
                <a:ea typeface="Arial"/>
                <a:cs typeface="Arial"/>
              </a:defRPr>
            </a:pPr>
            <a:endParaRPr lang="en-US"/>
          </a:p>
        </c:txPr>
        <c:crossAx val="196661008"/>
        <c:crosses val="autoZero"/>
        <c:crossBetween val="midCat"/>
      </c:valAx>
      <c:spPr>
        <a:noFill/>
        <a:ln>
          <a:noFill/>
        </a:ln>
        <a:effectLst/>
      </c:spPr>
    </c:plotArea>
    <c:legend>
      <c:legendPos val="b"/>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00" b="0" i="0" u="none" strike="noStrike" kern="1200" baseline="0">
              <a:solidFill>
                <a:schemeClr val="tx1"/>
              </a:solidFill>
              <a:latin typeface="Arial"/>
              <a:ea typeface="Arial"/>
              <a:cs typeface="Arial"/>
            </a:defRPr>
          </a:pPr>
          <a:endParaRPr lang="en-US"/>
        </a:p>
      </c:txPr>
    </c:legend>
    <c:plotVisOnly val="1"/>
    <c:dispBlanksAs val="gap"/>
    <c:showDLblsOverMax val="0"/>
  </c:chart>
  <c:spPr>
    <a:noFill/>
    <a:ln w="2540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11"/>
          <c:order val="0"/>
          <c:tx>
            <c:strRef>
              <c:f>'Figure 23'!$K$5</c:f>
              <c:strCache>
                <c:ptCount val="1"/>
                <c:pt idx="0">
                  <c:v>Wind (200 MW) (CF 42.0%)</c:v>
                </c:pt>
              </c:strCache>
            </c:strRef>
          </c:tx>
          <c:spPr>
            <a:ln w="28575">
              <a:noFill/>
            </a:ln>
          </c:spPr>
          <c:marker>
            <c:symbol val="triangle"/>
            <c:size val="5"/>
            <c:spPr>
              <a:solidFill>
                <a:srgbClr val="F37321"/>
              </a:solidFill>
              <a:ln w="9525">
                <a:noFill/>
              </a:ln>
            </c:spPr>
          </c:marker>
          <c:xVal>
            <c:numRef>
              <c:f>'Figure 23'!$M$5</c:f>
              <c:numCache>
                <c:formatCode>#,##0</c:formatCode>
                <c:ptCount val="1"/>
                <c:pt idx="0">
                  <c:v>85.151951902293504</c:v>
                </c:pt>
              </c:numCache>
            </c:numRef>
          </c:xVal>
          <c:yVal>
            <c:numRef>
              <c:f>'Figure 23'!$L$5</c:f>
              <c:numCache>
                <c:formatCode>#,##0</c:formatCode>
                <c:ptCount val="1"/>
                <c:pt idx="0">
                  <c:v>0</c:v>
                </c:pt>
              </c:numCache>
            </c:numRef>
          </c:yVal>
          <c:smooth val="0"/>
        </c:ser>
        <c:ser>
          <c:idx val="1"/>
          <c:order val="1"/>
          <c:tx>
            <c:strRef>
              <c:f>'Figure 23'!$K$6</c:f>
              <c:strCache>
                <c:ptCount val="1"/>
                <c:pt idx="0">
                  <c:v>Biomass (CF 70.0%)</c:v>
                </c:pt>
              </c:strCache>
            </c:strRef>
          </c:tx>
          <c:spPr>
            <a:ln w="28575">
              <a:noFill/>
            </a:ln>
          </c:spPr>
          <c:marker>
            <c:symbol val="triangle"/>
            <c:size val="7"/>
            <c:spPr>
              <a:solidFill>
                <a:srgbClr val="FFC222"/>
              </a:solidFill>
              <a:ln w="25400">
                <a:noFill/>
              </a:ln>
            </c:spPr>
          </c:marker>
          <c:xVal>
            <c:numRef>
              <c:f>'Figure 23'!$M$6</c:f>
              <c:numCache>
                <c:formatCode>#,##0</c:formatCode>
                <c:ptCount val="1"/>
                <c:pt idx="0">
                  <c:v>120.468193902575</c:v>
                </c:pt>
              </c:numCache>
            </c:numRef>
          </c:xVal>
          <c:yVal>
            <c:numRef>
              <c:f>'Figure 23'!$L$6</c:f>
              <c:numCache>
                <c:formatCode>#,##0</c:formatCode>
                <c:ptCount val="1"/>
                <c:pt idx="0">
                  <c:v>22.99</c:v>
                </c:pt>
              </c:numCache>
            </c:numRef>
          </c:yVal>
          <c:smooth val="0"/>
        </c:ser>
        <c:ser>
          <c:idx val="5"/>
          <c:order val="2"/>
          <c:tx>
            <c:strRef>
              <c:f>'Figure 23'!$K$7</c:f>
              <c:strCache>
                <c:ptCount val="1"/>
                <c:pt idx="0">
                  <c:v>Solar PV DAT (CF 32.0%)</c:v>
                </c:pt>
              </c:strCache>
            </c:strRef>
          </c:tx>
          <c:spPr>
            <a:ln w="28575">
              <a:noFill/>
            </a:ln>
          </c:spPr>
          <c:marker>
            <c:symbol val="diamond"/>
            <c:size val="5"/>
            <c:spPr>
              <a:solidFill>
                <a:srgbClr val="1E4164"/>
              </a:solidFill>
              <a:ln w="9525">
                <a:noFill/>
              </a:ln>
            </c:spPr>
          </c:marker>
          <c:xVal>
            <c:numRef>
              <c:f>'Figure 23'!$M$7</c:f>
              <c:numCache>
                <c:formatCode>#,##0</c:formatCode>
                <c:ptCount val="1"/>
                <c:pt idx="0">
                  <c:v>97.861298216647</c:v>
                </c:pt>
              </c:numCache>
            </c:numRef>
          </c:xVal>
          <c:yVal>
            <c:numRef>
              <c:f>'Figure 23'!$L$7</c:f>
              <c:numCache>
                <c:formatCode>#,##0</c:formatCode>
                <c:ptCount val="1"/>
                <c:pt idx="0">
                  <c:v>0</c:v>
                </c:pt>
              </c:numCache>
            </c:numRef>
          </c:yVal>
          <c:smooth val="0"/>
        </c:ser>
        <c:ser>
          <c:idx val="6"/>
          <c:order val="3"/>
          <c:tx>
            <c:strRef>
              <c:f>'Figure 23'!$K$8</c:f>
              <c:strCache>
                <c:ptCount val="1"/>
                <c:pt idx="0">
                  <c:v>Solar PV FFP (CF 22.0%)</c:v>
                </c:pt>
              </c:strCache>
            </c:strRef>
          </c:tx>
          <c:spPr>
            <a:ln w="28575">
              <a:noFill/>
            </a:ln>
          </c:spPr>
          <c:marker>
            <c:symbol val="star"/>
            <c:size val="5"/>
            <c:spPr>
              <a:solidFill>
                <a:srgbClr val="F7F5F5"/>
              </a:solidFill>
              <a:ln>
                <a:solidFill>
                  <a:srgbClr val="A9C398"/>
                </a:solidFill>
                <a:prstDash val="solid"/>
              </a:ln>
            </c:spPr>
          </c:marker>
          <c:xVal>
            <c:numRef>
              <c:f>'Figure 23'!$M$8</c:f>
              <c:numCache>
                <c:formatCode>#,##0</c:formatCode>
                <c:ptCount val="1"/>
                <c:pt idx="0">
                  <c:v>96.246939380021104</c:v>
                </c:pt>
              </c:numCache>
            </c:numRef>
          </c:xVal>
          <c:yVal>
            <c:numRef>
              <c:f>'Figure 23'!$L$8</c:f>
              <c:numCache>
                <c:formatCode>#,##0</c:formatCode>
                <c:ptCount val="1"/>
                <c:pt idx="0">
                  <c:v>0</c:v>
                </c:pt>
              </c:numCache>
            </c:numRef>
          </c:yVal>
          <c:smooth val="0"/>
        </c:ser>
        <c:ser>
          <c:idx val="7"/>
          <c:order val="4"/>
          <c:tx>
            <c:strRef>
              <c:f>'Figure 23'!$K$9</c:f>
              <c:strCache>
                <c:ptCount val="1"/>
                <c:pt idx="0">
                  <c:v>Solar PV SAT (CF 28.0%)</c:v>
                </c:pt>
              </c:strCache>
            </c:strRef>
          </c:tx>
          <c:spPr>
            <a:ln w="28575">
              <a:noFill/>
            </a:ln>
          </c:spPr>
          <c:marker>
            <c:symbol val="plus"/>
            <c:size val="5"/>
            <c:spPr>
              <a:solidFill>
                <a:srgbClr val="F7F5F5"/>
              </a:solidFill>
              <a:ln>
                <a:solidFill>
                  <a:srgbClr val="CB7E80"/>
                </a:solidFill>
                <a:prstDash val="solid"/>
              </a:ln>
            </c:spPr>
          </c:marker>
          <c:xVal>
            <c:numRef>
              <c:f>'Figure 23'!$M$9</c:f>
              <c:numCache>
                <c:formatCode>#,##0</c:formatCode>
                <c:ptCount val="1"/>
                <c:pt idx="0">
                  <c:v>89.529143127233397</c:v>
                </c:pt>
              </c:numCache>
            </c:numRef>
          </c:xVal>
          <c:yVal>
            <c:numRef>
              <c:f>'Figure 23'!$L$9</c:f>
              <c:numCache>
                <c:formatCode>#,##0</c:formatCode>
                <c:ptCount val="1"/>
                <c:pt idx="0">
                  <c:v>0</c:v>
                </c:pt>
              </c:numCache>
            </c:numRef>
          </c:yVal>
          <c:smooth val="0"/>
        </c:ser>
        <c:ser>
          <c:idx val="9"/>
          <c:order val="5"/>
          <c:tx>
            <c:strRef>
              <c:f>'Figure 23'!$K$10</c:f>
              <c:strCache>
                <c:ptCount val="1"/>
                <c:pt idx="0">
                  <c:v>Solar Thermal CR WS (CF 52.0%)</c:v>
                </c:pt>
              </c:strCache>
            </c:strRef>
          </c:tx>
          <c:spPr>
            <a:ln w="28575">
              <a:noFill/>
            </a:ln>
          </c:spPr>
          <c:marker>
            <c:symbol val="triangle"/>
            <c:size val="5"/>
            <c:spPr>
              <a:solidFill>
                <a:srgbClr val="948671"/>
              </a:solidFill>
              <a:ln w="9525">
                <a:noFill/>
              </a:ln>
            </c:spPr>
          </c:marker>
          <c:xVal>
            <c:numRef>
              <c:f>'Figure 23'!$M$10</c:f>
              <c:numCache>
                <c:formatCode>#,##0</c:formatCode>
                <c:ptCount val="1"/>
                <c:pt idx="0">
                  <c:v>136.635461610731</c:v>
                </c:pt>
              </c:numCache>
            </c:numRef>
          </c:xVal>
          <c:yVal>
            <c:numRef>
              <c:f>'Figure 23'!$L$10</c:f>
              <c:numCache>
                <c:formatCode>#,##0</c:formatCode>
                <c:ptCount val="1"/>
                <c:pt idx="0">
                  <c:v>0</c:v>
                </c:pt>
              </c:numCache>
            </c:numRef>
          </c:yVal>
          <c:smooth val="0"/>
        </c:ser>
        <c:ser>
          <c:idx val="2"/>
          <c:order val="6"/>
          <c:tx>
            <c:strRef>
              <c:f>'Figure 23'!$K$11</c:f>
              <c:strCache>
                <c:ptCount val="1"/>
                <c:pt idx="0">
                  <c:v>Wave/Ocean (CF 60.0%)</c:v>
                </c:pt>
              </c:strCache>
            </c:strRef>
          </c:tx>
          <c:spPr>
            <a:ln w="28575">
              <a:noFill/>
            </a:ln>
          </c:spPr>
          <c:marker>
            <c:symbol val="dash"/>
            <c:size val="5"/>
          </c:marker>
          <c:xVal>
            <c:numRef>
              <c:f>'Figure 23'!$M$11</c:f>
              <c:numCache>
                <c:formatCode>#,##0</c:formatCode>
                <c:ptCount val="1"/>
                <c:pt idx="0">
                  <c:v>170.849826877015</c:v>
                </c:pt>
              </c:numCache>
            </c:numRef>
          </c:xVal>
          <c:yVal>
            <c:numRef>
              <c:f>'Figure 23'!$L$11</c:f>
              <c:numCache>
                <c:formatCode>#,##0</c:formatCode>
                <c:ptCount val="1"/>
                <c:pt idx="0">
                  <c:v>0</c:v>
                </c:pt>
              </c:numCache>
            </c:numRef>
          </c:yVal>
          <c:smooth val="0"/>
        </c:ser>
        <c:ser>
          <c:idx val="12"/>
          <c:order val="7"/>
          <c:tx>
            <c:strRef>
              <c:f>'Figure 23'!$K$12</c:f>
              <c:strCache>
                <c:ptCount val="1"/>
                <c:pt idx="0">
                  <c:v>CCGT - Without CCS (CF 83.0%)</c:v>
                </c:pt>
              </c:strCache>
            </c:strRef>
          </c:tx>
          <c:spPr>
            <a:ln w="28575">
              <a:noFill/>
            </a:ln>
          </c:spPr>
          <c:marker>
            <c:symbol val="star"/>
            <c:size val="5"/>
            <c:spPr>
              <a:noFill/>
              <a:ln w="9525">
                <a:solidFill>
                  <a:schemeClr val="tx1"/>
                </a:solidFill>
              </a:ln>
            </c:spPr>
          </c:marker>
          <c:xVal>
            <c:numRef>
              <c:f>'Figure 23'!$M$12</c:f>
              <c:numCache>
                <c:formatCode>#,##0</c:formatCode>
                <c:ptCount val="1"/>
                <c:pt idx="0">
                  <c:v>82.819462128771704</c:v>
                </c:pt>
              </c:numCache>
            </c:numRef>
          </c:xVal>
          <c:yVal>
            <c:numRef>
              <c:f>'Figure 23'!$L$12</c:f>
              <c:numCache>
                <c:formatCode>#,##0</c:formatCode>
                <c:ptCount val="1"/>
                <c:pt idx="0">
                  <c:v>469.63</c:v>
                </c:pt>
              </c:numCache>
            </c:numRef>
          </c:yVal>
          <c:smooth val="0"/>
        </c:ser>
        <c:ser>
          <c:idx val="0"/>
          <c:order val="8"/>
          <c:tx>
            <c:strRef>
              <c:f>'Figure 23'!$K$13</c:f>
              <c:strCache>
                <c:ptCount val="1"/>
                <c:pt idx="0">
                  <c:v>OCGT - Without CCS (CF 10.0%)</c:v>
                </c:pt>
              </c:strCache>
            </c:strRef>
          </c:tx>
          <c:spPr>
            <a:ln w="28575">
              <a:noFill/>
            </a:ln>
          </c:spPr>
          <c:marker>
            <c:symbol val="diamond"/>
            <c:size val="5"/>
            <c:spPr>
              <a:solidFill>
                <a:schemeClr val="tx1"/>
              </a:solidFill>
              <a:ln>
                <a:solidFill>
                  <a:schemeClr val="tx1"/>
                </a:solidFill>
                <a:prstDash val="solid"/>
              </a:ln>
            </c:spPr>
          </c:marker>
          <c:xVal>
            <c:numRef>
              <c:f>'Figure 23'!$M$13</c:f>
              <c:numCache>
                <c:formatCode>#,##0</c:formatCode>
                <c:ptCount val="1"/>
                <c:pt idx="0">
                  <c:v>217.91669517328401</c:v>
                </c:pt>
              </c:numCache>
            </c:numRef>
          </c:xVal>
          <c:yVal>
            <c:numRef>
              <c:f>'Figure 23'!$L$13</c:f>
              <c:numCache>
                <c:formatCode>#,##0</c:formatCode>
                <c:ptCount val="1"/>
                <c:pt idx="0">
                  <c:v>687.75</c:v>
                </c:pt>
              </c:numCache>
            </c:numRef>
          </c:yVal>
          <c:smooth val="0"/>
        </c:ser>
        <c:ser>
          <c:idx val="14"/>
          <c:order val="9"/>
          <c:tx>
            <c:strRef>
              <c:f>'Figure 23'!$K$14</c:f>
              <c:strCache>
                <c:ptCount val="1"/>
                <c:pt idx="0">
                  <c:v>CCGT - With CCS (CF 83.0%)</c:v>
                </c:pt>
              </c:strCache>
            </c:strRef>
          </c:tx>
          <c:spPr>
            <a:ln w="28575">
              <a:noFill/>
            </a:ln>
          </c:spPr>
          <c:marker>
            <c:symbol val="star"/>
            <c:size val="7"/>
            <c:spPr>
              <a:ln>
                <a:solidFill>
                  <a:srgbClr val="FF0000"/>
                </a:solidFill>
              </a:ln>
            </c:spPr>
          </c:marker>
          <c:xVal>
            <c:numRef>
              <c:f>'Figure 23'!$M$14</c:f>
              <c:numCache>
                <c:formatCode>#,##0</c:formatCode>
                <c:ptCount val="1"/>
                <c:pt idx="0">
                  <c:v>117.504936509636</c:v>
                </c:pt>
              </c:numCache>
            </c:numRef>
          </c:xVal>
          <c:yVal>
            <c:numRef>
              <c:f>'Figure 23'!$L$14</c:f>
              <c:numCache>
                <c:formatCode>#,##0</c:formatCode>
                <c:ptCount val="1"/>
                <c:pt idx="0">
                  <c:v>150.23202159375001</c:v>
                </c:pt>
              </c:numCache>
            </c:numRef>
          </c:yVal>
          <c:smooth val="0"/>
        </c:ser>
        <c:dLbls>
          <c:showLegendKey val="0"/>
          <c:showVal val="0"/>
          <c:showCatName val="0"/>
          <c:showSerName val="0"/>
          <c:showPercent val="0"/>
          <c:showBubbleSize val="0"/>
        </c:dLbls>
        <c:axId val="196660616"/>
        <c:axId val="196800336"/>
        <c:extLst/>
      </c:scatterChart>
      <c:valAx>
        <c:axId val="196660616"/>
        <c:scaling>
          <c:orientation val="minMax"/>
          <c:max val="300"/>
        </c:scaling>
        <c:delete val="0"/>
        <c:axPos val="b"/>
        <c:majorGridlines>
          <c:spPr>
            <a:ln w="6350">
              <a:solidFill>
                <a:srgbClr val="EFEBEB"/>
              </a:solidFill>
              <a:prstDash val="solid"/>
            </a:ln>
          </c:spPr>
        </c:majorGridlines>
        <c:title>
          <c:tx>
            <c:rich>
              <a:bodyPr/>
              <a:lstStyle/>
              <a:p>
                <a:pPr>
                  <a:defRPr sz="900" b="1" i="0">
                    <a:solidFill>
                      <a:schemeClr val="tx1"/>
                    </a:solidFill>
                    <a:latin typeface="Arial"/>
                    <a:ea typeface="Arial"/>
                    <a:cs typeface="Arial"/>
                  </a:defRPr>
                </a:pPr>
                <a:r>
                  <a:rPr lang="en-US">
                    <a:solidFill>
                      <a:schemeClr val="tx1"/>
                    </a:solidFill>
                  </a:rPr>
                  <a:t>South</a:t>
                </a:r>
                <a:r>
                  <a:rPr lang="en-US" baseline="0">
                    <a:solidFill>
                      <a:schemeClr val="tx1"/>
                    </a:solidFill>
                  </a:rPr>
                  <a:t> Australian only m</a:t>
                </a:r>
                <a:r>
                  <a:rPr lang="en-US">
                    <a:solidFill>
                      <a:schemeClr val="tx1"/>
                    </a:solidFill>
                  </a:rPr>
                  <a:t>inimum LCOE</a:t>
                </a:r>
                <a:r>
                  <a:rPr lang="en-US" baseline="0">
                    <a:solidFill>
                      <a:schemeClr val="tx1"/>
                    </a:solidFill>
                  </a:rPr>
                  <a:t> </a:t>
                </a:r>
                <a:r>
                  <a:rPr lang="en-US">
                    <a:solidFill>
                      <a:schemeClr val="tx1"/>
                    </a:solidFill>
                  </a:rPr>
                  <a:t>($/MWh)</a:t>
                </a:r>
              </a:p>
            </c:rich>
          </c:tx>
          <c:overlay val="0"/>
        </c:title>
        <c:numFmt formatCode="0" sourceLinked="0"/>
        <c:majorTickMark val="out"/>
        <c:minorTickMark val="none"/>
        <c:tickLblPos val="nextTo"/>
        <c:spPr>
          <a:ln w="6350">
            <a:solidFill>
              <a:srgbClr val="948671"/>
            </a:solidFill>
            <a:prstDash val="solid"/>
          </a:ln>
        </c:spPr>
        <c:txPr>
          <a:bodyPr/>
          <a:lstStyle/>
          <a:p>
            <a:pPr>
              <a:defRPr sz="800" b="0" i="0">
                <a:solidFill>
                  <a:sysClr val="windowText" lastClr="000000"/>
                </a:solidFill>
                <a:latin typeface="Arial"/>
                <a:ea typeface="Arial"/>
                <a:cs typeface="Arial"/>
              </a:defRPr>
            </a:pPr>
            <a:endParaRPr lang="en-US"/>
          </a:p>
        </c:txPr>
        <c:crossAx val="196800336"/>
        <c:crosses val="autoZero"/>
        <c:crossBetween val="midCat"/>
      </c:valAx>
      <c:valAx>
        <c:axId val="196800336"/>
        <c:scaling>
          <c:orientation val="minMax"/>
          <c:max val="1400"/>
        </c:scaling>
        <c:delete val="0"/>
        <c:axPos val="l"/>
        <c:majorGridlines>
          <c:spPr>
            <a:ln w="6350">
              <a:solidFill>
                <a:srgbClr val="EFEBEB"/>
              </a:solidFill>
              <a:prstDash val="solid"/>
            </a:ln>
          </c:spPr>
        </c:majorGridlines>
        <c:title>
          <c:tx>
            <c:rich>
              <a:bodyPr rot="-5400000" vert="horz"/>
              <a:lstStyle/>
              <a:p>
                <a:pPr>
                  <a:defRPr sz="900" b="1" i="0">
                    <a:solidFill>
                      <a:schemeClr val="tx1"/>
                    </a:solidFill>
                    <a:latin typeface="Arial"/>
                    <a:ea typeface="Arial"/>
                    <a:cs typeface="Arial"/>
                  </a:defRPr>
                </a:pPr>
                <a:r>
                  <a:rPr lang="en-US">
                    <a:solidFill>
                      <a:schemeClr val="tx1"/>
                    </a:solidFill>
                  </a:rPr>
                  <a:t>Emissions (kgCO</a:t>
                </a:r>
                <a:r>
                  <a:rPr lang="en-US" baseline="-25000">
                    <a:solidFill>
                      <a:schemeClr val="tx1"/>
                    </a:solidFill>
                  </a:rPr>
                  <a:t>2</a:t>
                </a:r>
                <a:r>
                  <a:rPr lang="en-US">
                    <a:solidFill>
                      <a:schemeClr val="tx1"/>
                    </a:solidFill>
                  </a:rPr>
                  <a:t>-e/MWh)</a:t>
                </a:r>
              </a:p>
            </c:rich>
          </c:tx>
          <c:overlay val="0"/>
        </c:title>
        <c:numFmt formatCode="0" sourceLinked="0"/>
        <c:majorTickMark val="out"/>
        <c:minorTickMark val="none"/>
        <c:tickLblPos val="nextTo"/>
        <c:spPr>
          <a:ln w="6350">
            <a:solidFill>
              <a:srgbClr val="948671"/>
            </a:solidFill>
            <a:prstDash val="solid"/>
          </a:ln>
        </c:spPr>
        <c:txPr>
          <a:bodyPr/>
          <a:lstStyle/>
          <a:p>
            <a:pPr>
              <a:defRPr sz="800" b="0" i="0">
                <a:solidFill>
                  <a:schemeClr val="tx1"/>
                </a:solidFill>
                <a:latin typeface="Arial"/>
                <a:ea typeface="Arial"/>
                <a:cs typeface="Arial"/>
              </a:defRPr>
            </a:pPr>
            <a:endParaRPr lang="en-US"/>
          </a:p>
        </c:txPr>
        <c:crossAx val="196660616"/>
        <c:crosses val="autoZero"/>
        <c:crossBetween val="midCat"/>
      </c:valAx>
      <c:spPr>
        <a:noFill/>
      </c:spPr>
    </c:plotArea>
    <c:legend>
      <c:legendPos val="b"/>
      <c:overlay val="0"/>
      <c:spPr>
        <a:noFill/>
        <a:ln>
          <a:noFill/>
          <a:round/>
        </a:ln>
        <a:effectLst/>
        <a:extLst>
          <a:ext uri="{91240B29-F687-4F45-9708-019B960494DF}">
            <a14:hiddenLine xmlns:a14="http://schemas.microsoft.com/office/drawing/2010/main">
              <a:noFill/>
              <a:round/>
            </a14:hiddenLine>
          </a:ext>
        </a:extLst>
      </c:spPr>
      <c:txPr>
        <a:bodyPr/>
        <a:lstStyle/>
        <a:p>
          <a:pPr>
            <a:defRPr sz="700" b="0" i="0">
              <a:solidFill>
                <a:schemeClr val="tx1"/>
              </a:solidFill>
              <a:latin typeface="Arial"/>
              <a:ea typeface="Arial"/>
              <a:cs typeface="Arial"/>
            </a:defRPr>
          </a:pPr>
          <a:endParaRPr lang="en-US"/>
        </a:p>
      </c:txPr>
    </c:legend>
    <c:plotVisOnly val="1"/>
    <c:dispBlanksAs val="gap"/>
    <c:showDLblsOverMax val="0"/>
  </c:chart>
  <c:spPr>
    <a:noFill/>
    <a:ln w="25400">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11"/>
          <c:order val="0"/>
          <c:tx>
            <c:strRef>
              <c:f>'Figure 24'!$K$5</c:f>
              <c:strCache>
                <c:ptCount val="1"/>
                <c:pt idx="0">
                  <c:v>Wind (200 MW) (CF 42.0%)</c:v>
                </c:pt>
              </c:strCache>
            </c:strRef>
          </c:tx>
          <c:spPr>
            <a:ln w="28575">
              <a:noFill/>
            </a:ln>
          </c:spPr>
          <c:marker>
            <c:symbol val="triangle"/>
            <c:size val="5"/>
            <c:spPr>
              <a:solidFill>
                <a:srgbClr val="F37321"/>
              </a:solidFill>
              <a:ln w="25400">
                <a:noFill/>
              </a:ln>
            </c:spPr>
          </c:marker>
          <c:xVal>
            <c:numRef>
              <c:f>'Figure 24'!$M$5</c:f>
              <c:numCache>
                <c:formatCode>#,##0</c:formatCode>
                <c:ptCount val="1"/>
                <c:pt idx="0">
                  <c:v>84.583704704232602</c:v>
                </c:pt>
              </c:numCache>
            </c:numRef>
          </c:xVal>
          <c:yVal>
            <c:numRef>
              <c:f>'Figure 24'!$L$5</c:f>
              <c:numCache>
                <c:formatCode>#,##0</c:formatCode>
                <c:ptCount val="1"/>
                <c:pt idx="0">
                  <c:v>0</c:v>
                </c:pt>
              </c:numCache>
            </c:numRef>
          </c:yVal>
          <c:smooth val="0"/>
        </c:ser>
        <c:ser>
          <c:idx val="1"/>
          <c:order val="1"/>
          <c:tx>
            <c:strRef>
              <c:f>'Figure 24'!$K$6</c:f>
              <c:strCache>
                <c:ptCount val="1"/>
                <c:pt idx="0">
                  <c:v>Biomass (CF 70.0%)</c:v>
                </c:pt>
              </c:strCache>
            </c:strRef>
          </c:tx>
          <c:spPr>
            <a:ln w="28575">
              <a:noFill/>
            </a:ln>
          </c:spPr>
          <c:marker>
            <c:symbol val="triangle"/>
            <c:size val="7"/>
            <c:spPr>
              <a:solidFill>
                <a:srgbClr val="FFC222"/>
              </a:solidFill>
              <a:ln w="25400">
                <a:noFill/>
              </a:ln>
            </c:spPr>
          </c:marker>
          <c:xVal>
            <c:numRef>
              <c:f>'Figure 24'!$M$6</c:f>
              <c:numCache>
                <c:formatCode>#,##0</c:formatCode>
                <c:ptCount val="1"/>
                <c:pt idx="0">
                  <c:v>118.427421916033</c:v>
                </c:pt>
              </c:numCache>
            </c:numRef>
          </c:xVal>
          <c:yVal>
            <c:numRef>
              <c:f>'Figure 24'!$L$6</c:f>
              <c:numCache>
                <c:formatCode>#,##0</c:formatCode>
                <c:ptCount val="1"/>
                <c:pt idx="0">
                  <c:v>22.99</c:v>
                </c:pt>
              </c:numCache>
            </c:numRef>
          </c:yVal>
          <c:smooth val="0"/>
        </c:ser>
        <c:ser>
          <c:idx val="5"/>
          <c:order val="2"/>
          <c:tx>
            <c:strRef>
              <c:f>'Figure 24'!$K$7</c:f>
              <c:strCache>
                <c:ptCount val="1"/>
                <c:pt idx="0">
                  <c:v>Solar PV DAT (CF 32.0%)</c:v>
                </c:pt>
              </c:strCache>
            </c:strRef>
          </c:tx>
          <c:spPr>
            <a:ln w="28575">
              <a:noFill/>
            </a:ln>
          </c:spPr>
          <c:marker>
            <c:symbol val="diamond"/>
            <c:size val="5"/>
            <c:spPr>
              <a:solidFill>
                <a:srgbClr val="1E4164"/>
              </a:solidFill>
              <a:ln w="25400">
                <a:noFill/>
              </a:ln>
            </c:spPr>
          </c:marker>
          <c:xVal>
            <c:numRef>
              <c:f>'Figure 24'!$M$7</c:f>
              <c:numCache>
                <c:formatCode>#,##0</c:formatCode>
                <c:ptCount val="1"/>
                <c:pt idx="0">
                  <c:v>97.580743215918005</c:v>
                </c:pt>
              </c:numCache>
            </c:numRef>
          </c:xVal>
          <c:yVal>
            <c:numRef>
              <c:f>'Figure 24'!$L$7</c:f>
              <c:numCache>
                <c:formatCode>#,##0</c:formatCode>
                <c:ptCount val="1"/>
                <c:pt idx="0">
                  <c:v>0</c:v>
                </c:pt>
              </c:numCache>
            </c:numRef>
          </c:yVal>
          <c:smooth val="0"/>
        </c:ser>
        <c:ser>
          <c:idx val="6"/>
          <c:order val="3"/>
          <c:tx>
            <c:strRef>
              <c:f>'Figure 24'!$K$8</c:f>
              <c:strCache>
                <c:ptCount val="1"/>
                <c:pt idx="0">
                  <c:v>Solar PV FFP (CF 22.0%)</c:v>
                </c:pt>
              </c:strCache>
            </c:strRef>
          </c:tx>
          <c:spPr>
            <a:ln w="28575">
              <a:noFill/>
            </a:ln>
          </c:spPr>
          <c:marker>
            <c:symbol val="star"/>
            <c:size val="5"/>
            <c:spPr>
              <a:solidFill>
                <a:srgbClr val="F7F5F5"/>
              </a:solidFill>
              <a:ln>
                <a:solidFill>
                  <a:srgbClr val="A9C398"/>
                </a:solidFill>
                <a:prstDash val="solid"/>
              </a:ln>
            </c:spPr>
          </c:marker>
          <c:xVal>
            <c:numRef>
              <c:f>'Figure 24'!$M$8</c:f>
              <c:numCache>
                <c:formatCode>#,##0</c:formatCode>
                <c:ptCount val="1"/>
                <c:pt idx="0">
                  <c:v>95.838917318415497</c:v>
                </c:pt>
              </c:numCache>
            </c:numRef>
          </c:xVal>
          <c:yVal>
            <c:numRef>
              <c:f>'Figure 24'!$L$8</c:f>
              <c:numCache>
                <c:formatCode>#,##0</c:formatCode>
                <c:ptCount val="1"/>
                <c:pt idx="0">
                  <c:v>0</c:v>
                </c:pt>
              </c:numCache>
            </c:numRef>
          </c:yVal>
          <c:smooth val="0"/>
        </c:ser>
        <c:ser>
          <c:idx val="7"/>
          <c:order val="4"/>
          <c:tx>
            <c:strRef>
              <c:f>'Figure 24'!$K$9</c:f>
              <c:strCache>
                <c:ptCount val="1"/>
                <c:pt idx="0">
                  <c:v>Solar PV SAT (CF 28.0%)</c:v>
                </c:pt>
              </c:strCache>
            </c:strRef>
          </c:tx>
          <c:spPr>
            <a:ln w="28575">
              <a:noFill/>
            </a:ln>
          </c:spPr>
          <c:marker>
            <c:symbol val="plus"/>
            <c:size val="5"/>
            <c:spPr>
              <a:solidFill>
                <a:srgbClr val="F7F5F5"/>
              </a:solidFill>
              <a:ln>
                <a:solidFill>
                  <a:srgbClr val="CB7E80"/>
                </a:solidFill>
                <a:prstDash val="solid"/>
              </a:ln>
            </c:spPr>
          </c:marker>
          <c:xVal>
            <c:numRef>
              <c:f>'Figure 24'!$M$9</c:f>
              <c:numCache>
                <c:formatCode>#,##0</c:formatCode>
                <c:ptCount val="1"/>
                <c:pt idx="0">
                  <c:v>89.208523149605696</c:v>
                </c:pt>
              </c:numCache>
            </c:numRef>
          </c:xVal>
          <c:yVal>
            <c:numRef>
              <c:f>'Figure 24'!$L$9</c:f>
              <c:numCache>
                <c:formatCode>#,##0</c:formatCode>
                <c:ptCount val="1"/>
                <c:pt idx="0">
                  <c:v>0</c:v>
                </c:pt>
              </c:numCache>
            </c:numRef>
          </c:yVal>
          <c:smooth val="0"/>
        </c:ser>
        <c:ser>
          <c:idx val="9"/>
          <c:order val="5"/>
          <c:tx>
            <c:strRef>
              <c:f>'Figure 24'!$K$10</c:f>
              <c:strCache>
                <c:ptCount val="1"/>
                <c:pt idx="0">
                  <c:v>Solar Thermal CR WS (CF 52.0%)</c:v>
                </c:pt>
              </c:strCache>
            </c:strRef>
          </c:tx>
          <c:spPr>
            <a:ln w="28575">
              <a:noFill/>
            </a:ln>
          </c:spPr>
          <c:marker>
            <c:symbol val="triangle"/>
            <c:size val="5"/>
            <c:spPr>
              <a:solidFill>
                <a:srgbClr val="948671"/>
              </a:solidFill>
              <a:ln w="25400">
                <a:noFill/>
              </a:ln>
            </c:spPr>
          </c:marker>
          <c:xVal>
            <c:numRef>
              <c:f>'Figure 24'!$M$10</c:f>
              <c:numCache>
                <c:formatCode>#,##0</c:formatCode>
                <c:ptCount val="1"/>
                <c:pt idx="0">
                  <c:v>136.635461610731</c:v>
                </c:pt>
              </c:numCache>
            </c:numRef>
          </c:xVal>
          <c:yVal>
            <c:numRef>
              <c:f>'Figure 24'!$L$10</c:f>
              <c:numCache>
                <c:formatCode>#,##0</c:formatCode>
                <c:ptCount val="1"/>
                <c:pt idx="0">
                  <c:v>0</c:v>
                </c:pt>
              </c:numCache>
            </c:numRef>
          </c:yVal>
          <c:smooth val="0"/>
        </c:ser>
        <c:ser>
          <c:idx val="2"/>
          <c:order val="6"/>
          <c:tx>
            <c:strRef>
              <c:f>'Figure 24'!$K$11</c:f>
              <c:strCache>
                <c:ptCount val="1"/>
                <c:pt idx="0">
                  <c:v>OCGT - Without CCS (CF 10.0%)</c:v>
                </c:pt>
              </c:strCache>
            </c:strRef>
          </c:tx>
          <c:spPr>
            <a:ln w="28575">
              <a:noFill/>
            </a:ln>
          </c:spPr>
          <c:marker>
            <c:symbol val="diamond"/>
            <c:size val="5"/>
            <c:spPr>
              <a:solidFill>
                <a:schemeClr val="tx1"/>
              </a:solidFill>
              <a:ln w="25400">
                <a:noFill/>
              </a:ln>
            </c:spPr>
          </c:marker>
          <c:xVal>
            <c:numRef>
              <c:f>'Figure 24'!$M$11</c:f>
              <c:numCache>
                <c:formatCode>#,##0</c:formatCode>
                <c:ptCount val="1"/>
                <c:pt idx="0">
                  <c:v>198.37035969884599</c:v>
                </c:pt>
              </c:numCache>
            </c:numRef>
          </c:xVal>
          <c:yVal>
            <c:numRef>
              <c:f>'Figure 24'!$L$11</c:f>
              <c:numCache>
                <c:formatCode>#,##0</c:formatCode>
                <c:ptCount val="1"/>
                <c:pt idx="0">
                  <c:v>582.34</c:v>
                </c:pt>
              </c:numCache>
            </c:numRef>
          </c:yVal>
          <c:smooth val="0"/>
        </c:ser>
        <c:ser>
          <c:idx val="0"/>
          <c:order val="7"/>
          <c:tx>
            <c:strRef>
              <c:f>'Figure 24'!$K$12</c:f>
              <c:strCache>
                <c:ptCount val="1"/>
                <c:pt idx="0">
                  <c:v>CCGT - Without CCS (CF 83.0%)</c:v>
                </c:pt>
              </c:strCache>
            </c:strRef>
          </c:tx>
          <c:spPr>
            <a:ln w="28575">
              <a:noFill/>
            </a:ln>
          </c:spPr>
          <c:marker>
            <c:symbol val="star"/>
            <c:size val="5"/>
            <c:spPr>
              <a:solidFill>
                <a:srgbClr val="F7F5F5"/>
              </a:solidFill>
              <a:ln>
                <a:solidFill>
                  <a:schemeClr val="tx1"/>
                </a:solidFill>
                <a:prstDash val="solid"/>
              </a:ln>
            </c:spPr>
          </c:marker>
          <c:xVal>
            <c:numRef>
              <c:f>'Figure 24'!$M$12</c:f>
              <c:numCache>
                <c:formatCode>#,##0</c:formatCode>
                <c:ptCount val="1"/>
                <c:pt idx="0">
                  <c:v>70.463631177936804</c:v>
                </c:pt>
              </c:numCache>
            </c:numRef>
          </c:xVal>
          <c:yVal>
            <c:numRef>
              <c:f>'Figure 24'!$L$12</c:f>
              <c:numCache>
                <c:formatCode>#,##0</c:formatCode>
                <c:ptCount val="1"/>
                <c:pt idx="0">
                  <c:v>443.78</c:v>
                </c:pt>
              </c:numCache>
            </c:numRef>
          </c:yVal>
          <c:smooth val="0"/>
        </c:ser>
        <c:ser>
          <c:idx val="16"/>
          <c:order val="8"/>
          <c:tx>
            <c:strRef>
              <c:f>'Figure 24'!$K$13</c:f>
              <c:strCache>
                <c:ptCount val="1"/>
                <c:pt idx="0">
                  <c:v>CCGT - With CCS (CF 83.0%)</c:v>
                </c:pt>
              </c:strCache>
            </c:strRef>
          </c:tx>
          <c:spPr>
            <a:ln w="28575">
              <a:noFill/>
            </a:ln>
          </c:spPr>
          <c:marker>
            <c:symbol val="star"/>
            <c:size val="7"/>
            <c:spPr>
              <a:noFill/>
              <a:ln>
                <a:solidFill>
                  <a:srgbClr val="FF0000"/>
                </a:solidFill>
              </a:ln>
            </c:spPr>
          </c:marker>
          <c:xVal>
            <c:numRef>
              <c:f>'Figure 24'!$M$13</c:f>
              <c:numCache>
                <c:formatCode>#,##0</c:formatCode>
                <c:ptCount val="1"/>
                <c:pt idx="0">
                  <c:v>115.795709577601</c:v>
                </c:pt>
              </c:numCache>
            </c:numRef>
          </c:xVal>
          <c:yVal>
            <c:numRef>
              <c:f>'Figure 24'!$L$13</c:f>
              <c:numCache>
                <c:formatCode>#,##0</c:formatCode>
                <c:ptCount val="1"/>
                <c:pt idx="0">
                  <c:v>130.59800000000001</c:v>
                </c:pt>
              </c:numCache>
            </c:numRef>
          </c:yVal>
          <c:smooth val="0"/>
        </c:ser>
        <c:ser>
          <c:idx val="13"/>
          <c:order val="9"/>
          <c:tx>
            <c:strRef>
              <c:f>'Figure 24'!$K$14</c:f>
              <c:strCache>
                <c:ptCount val="1"/>
                <c:pt idx="0">
                  <c:v>Supercritical PC - Black coal without CCS (CF 83.0%)</c:v>
                </c:pt>
              </c:strCache>
            </c:strRef>
          </c:tx>
          <c:spPr>
            <a:ln w="28575">
              <a:noFill/>
            </a:ln>
          </c:spPr>
          <c:marker>
            <c:symbol val="triangle"/>
            <c:size val="5"/>
            <c:spPr>
              <a:solidFill>
                <a:schemeClr val="tx1"/>
              </a:solidFill>
              <a:ln w="9525">
                <a:noFill/>
              </a:ln>
            </c:spPr>
          </c:marker>
          <c:xVal>
            <c:numRef>
              <c:f>'Figure 24'!$M$14</c:f>
              <c:numCache>
                <c:formatCode>#,##0</c:formatCode>
                <c:ptCount val="1"/>
                <c:pt idx="0">
                  <c:v>80.868306676555903</c:v>
                </c:pt>
              </c:numCache>
            </c:numRef>
          </c:xVal>
          <c:yVal>
            <c:numRef>
              <c:f>'Figure 24'!$L$14</c:f>
              <c:numCache>
                <c:formatCode>#,##0</c:formatCode>
                <c:ptCount val="1"/>
                <c:pt idx="0">
                  <c:v>811.61</c:v>
                </c:pt>
              </c:numCache>
            </c:numRef>
          </c:yVal>
          <c:smooth val="0"/>
        </c:ser>
        <c:ser>
          <c:idx val="15"/>
          <c:order val="10"/>
          <c:tx>
            <c:strRef>
              <c:f>'Figure 24'!$K$15</c:f>
              <c:strCache>
                <c:ptCount val="1"/>
                <c:pt idx="0">
                  <c:v>Supercritical PC - Black coal with CCS (CF 83.0%)</c:v>
                </c:pt>
              </c:strCache>
            </c:strRef>
          </c:tx>
          <c:spPr>
            <a:ln w="28575">
              <a:noFill/>
            </a:ln>
          </c:spPr>
          <c:marker>
            <c:symbol val="triangle"/>
            <c:size val="7"/>
            <c:spPr>
              <a:noFill/>
              <a:ln>
                <a:solidFill>
                  <a:srgbClr val="FF0000"/>
                </a:solidFill>
              </a:ln>
            </c:spPr>
          </c:marker>
          <c:xVal>
            <c:numRef>
              <c:f>'Figure 24'!$M$15</c:f>
              <c:numCache>
                <c:formatCode>#,##0</c:formatCode>
                <c:ptCount val="1"/>
                <c:pt idx="0">
                  <c:v>185.38773841946801</c:v>
                </c:pt>
              </c:numCache>
            </c:numRef>
          </c:xVal>
          <c:yVal>
            <c:numRef>
              <c:f>'Figure 24'!$L$15</c:f>
              <c:numCache>
                <c:formatCode>#,##0</c:formatCode>
                <c:ptCount val="1"/>
                <c:pt idx="0">
                  <c:v>131.15</c:v>
                </c:pt>
              </c:numCache>
            </c:numRef>
          </c:yVal>
          <c:smooth val="0"/>
        </c:ser>
        <c:ser>
          <c:idx val="14"/>
          <c:order val="11"/>
          <c:tx>
            <c:strRef>
              <c:f>'Figure 24'!$K$16</c:f>
              <c:strCache>
                <c:ptCount val="1"/>
                <c:pt idx="0">
                  <c:v>Supercritical PC - Brown coal without CCS (CF 83.0%)</c:v>
                </c:pt>
              </c:strCache>
            </c:strRef>
          </c:tx>
          <c:spPr>
            <a:ln w="28575">
              <a:noFill/>
            </a:ln>
          </c:spPr>
          <c:marker>
            <c:symbol val="square"/>
            <c:size val="5"/>
            <c:spPr>
              <a:solidFill>
                <a:schemeClr val="tx1"/>
              </a:solidFill>
              <a:ln w="9525">
                <a:noFill/>
              </a:ln>
            </c:spPr>
          </c:marker>
          <c:xVal>
            <c:numRef>
              <c:f>'Figure 24'!$M$16</c:f>
              <c:numCache>
                <c:formatCode>#,##0</c:formatCode>
                <c:ptCount val="1"/>
                <c:pt idx="0">
                  <c:v>91.073497187027996</c:v>
                </c:pt>
              </c:numCache>
            </c:numRef>
          </c:xVal>
          <c:yVal>
            <c:numRef>
              <c:f>'Figure 24'!$L$16</c:f>
              <c:numCache>
                <c:formatCode>#,##0</c:formatCode>
                <c:ptCount val="1"/>
                <c:pt idx="0">
                  <c:v>1193.46</c:v>
                </c:pt>
              </c:numCache>
            </c:numRef>
          </c:yVal>
          <c:smooth val="0"/>
        </c:ser>
        <c:ser>
          <c:idx val="17"/>
          <c:order val="12"/>
          <c:tx>
            <c:strRef>
              <c:f>'Figure 24'!$K$17</c:f>
              <c:strCache>
                <c:ptCount val="1"/>
                <c:pt idx="0">
                  <c:v>Supercritical PC - Brown coal with CCS (CF 83.0%)</c:v>
                </c:pt>
              </c:strCache>
            </c:strRef>
          </c:tx>
          <c:spPr>
            <a:ln w="28575">
              <a:noFill/>
            </a:ln>
          </c:spPr>
          <c:marker>
            <c:symbol val="square"/>
            <c:size val="7"/>
            <c:spPr>
              <a:noFill/>
              <a:ln>
                <a:solidFill>
                  <a:srgbClr val="FF0000"/>
                </a:solidFill>
              </a:ln>
            </c:spPr>
          </c:marker>
          <c:xVal>
            <c:numRef>
              <c:f>'Figure 24'!$M$17</c:f>
              <c:numCache>
                <c:formatCode>#,##0</c:formatCode>
                <c:ptCount val="1"/>
                <c:pt idx="0">
                  <c:v>198.16779988272299</c:v>
                </c:pt>
              </c:numCache>
            </c:numRef>
          </c:xVal>
          <c:yVal>
            <c:numRef>
              <c:f>'Figure 24'!$L$17</c:f>
              <c:numCache>
                <c:formatCode>#,##0</c:formatCode>
                <c:ptCount val="1"/>
                <c:pt idx="0">
                  <c:v>169.03200000000001</c:v>
                </c:pt>
              </c:numCache>
            </c:numRef>
          </c:yVal>
          <c:smooth val="0"/>
        </c:ser>
        <c:dLbls>
          <c:showLegendKey val="0"/>
          <c:showVal val="0"/>
          <c:showCatName val="0"/>
          <c:showSerName val="0"/>
          <c:showPercent val="0"/>
          <c:showBubbleSize val="0"/>
        </c:dLbls>
        <c:axId val="196801512"/>
        <c:axId val="196801904"/>
        <c:extLst/>
      </c:scatterChart>
      <c:valAx>
        <c:axId val="196801512"/>
        <c:scaling>
          <c:orientation val="minMax"/>
          <c:max val="300"/>
        </c:scaling>
        <c:delete val="0"/>
        <c:axPos val="b"/>
        <c:majorGridlines>
          <c:spPr>
            <a:ln w="6350">
              <a:solidFill>
                <a:srgbClr val="EFEBEB"/>
              </a:solidFill>
              <a:prstDash val="solid"/>
            </a:ln>
          </c:spPr>
        </c:majorGridlines>
        <c:title>
          <c:tx>
            <c:rich>
              <a:bodyPr/>
              <a:lstStyle/>
              <a:p>
                <a:pPr>
                  <a:defRPr sz="900" b="1" i="0">
                    <a:solidFill>
                      <a:schemeClr val="tx1"/>
                    </a:solidFill>
                    <a:latin typeface="Arial"/>
                    <a:ea typeface="Arial"/>
                    <a:cs typeface="Arial"/>
                  </a:defRPr>
                </a:pPr>
                <a:r>
                  <a:rPr lang="en-US">
                    <a:solidFill>
                      <a:schemeClr val="tx1"/>
                    </a:solidFill>
                  </a:rPr>
                  <a:t>NEM wide minimum LCOE ($/MWh)</a:t>
                </a:r>
              </a:p>
            </c:rich>
          </c:tx>
          <c:overlay val="0"/>
        </c:title>
        <c:numFmt formatCode="0" sourceLinked="0"/>
        <c:majorTickMark val="out"/>
        <c:minorTickMark val="none"/>
        <c:tickLblPos val="nextTo"/>
        <c:spPr>
          <a:ln w="6350">
            <a:solidFill>
              <a:srgbClr val="948671"/>
            </a:solidFill>
            <a:prstDash val="solid"/>
          </a:ln>
        </c:spPr>
        <c:txPr>
          <a:bodyPr/>
          <a:lstStyle/>
          <a:p>
            <a:pPr>
              <a:defRPr sz="800" b="0" i="0">
                <a:solidFill>
                  <a:sysClr val="windowText" lastClr="000000"/>
                </a:solidFill>
                <a:latin typeface="Arial"/>
                <a:ea typeface="Arial"/>
                <a:cs typeface="Arial"/>
              </a:defRPr>
            </a:pPr>
            <a:endParaRPr lang="en-US"/>
          </a:p>
        </c:txPr>
        <c:crossAx val="196801904"/>
        <c:crosses val="autoZero"/>
        <c:crossBetween val="midCat"/>
      </c:valAx>
      <c:valAx>
        <c:axId val="196801904"/>
        <c:scaling>
          <c:orientation val="minMax"/>
        </c:scaling>
        <c:delete val="0"/>
        <c:axPos val="l"/>
        <c:majorGridlines>
          <c:spPr>
            <a:ln w="6350">
              <a:solidFill>
                <a:srgbClr val="EFEBEB"/>
              </a:solidFill>
              <a:prstDash val="solid"/>
            </a:ln>
          </c:spPr>
        </c:majorGridlines>
        <c:title>
          <c:tx>
            <c:rich>
              <a:bodyPr rot="-5400000" vert="horz"/>
              <a:lstStyle/>
              <a:p>
                <a:pPr>
                  <a:defRPr sz="900" b="1" i="0">
                    <a:solidFill>
                      <a:schemeClr val="tx1"/>
                    </a:solidFill>
                    <a:latin typeface="Arial"/>
                    <a:ea typeface="Arial"/>
                    <a:cs typeface="Arial"/>
                  </a:defRPr>
                </a:pPr>
                <a:r>
                  <a:rPr lang="en-US">
                    <a:solidFill>
                      <a:schemeClr val="tx1"/>
                    </a:solidFill>
                  </a:rPr>
                  <a:t>Emissions (kgCO</a:t>
                </a:r>
                <a:r>
                  <a:rPr lang="en-US" baseline="-25000">
                    <a:solidFill>
                      <a:schemeClr val="tx1"/>
                    </a:solidFill>
                  </a:rPr>
                  <a:t>2</a:t>
                </a:r>
                <a:r>
                  <a:rPr lang="en-US">
                    <a:solidFill>
                      <a:schemeClr val="tx1"/>
                    </a:solidFill>
                  </a:rPr>
                  <a:t>-e/MWh)</a:t>
                </a:r>
              </a:p>
            </c:rich>
          </c:tx>
          <c:overlay val="0"/>
        </c:title>
        <c:numFmt formatCode="0" sourceLinked="0"/>
        <c:majorTickMark val="out"/>
        <c:minorTickMark val="none"/>
        <c:tickLblPos val="nextTo"/>
        <c:spPr>
          <a:ln w="6350">
            <a:solidFill>
              <a:srgbClr val="948671"/>
            </a:solidFill>
            <a:prstDash val="solid"/>
          </a:ln>
        </c:spPr>
        <c:txPr>
          <a:bodyPr/>
          <a:lstStyle/>
          <a:p>
            <a:pPr>
              <a:defRPr sz="800" b="0" i="0">
                <a:solidFill>
                  <a:sysClr val="windowText" lastClr="000000"/>
                </a:solidFill>
                <a:latin typeface="Arial"/>
                <a:ea typeface="Arial"/>
                <a:cs typeface="Arial"/>
              </a:defRPr>
            </a:pPr>
            <a:endParaRPr lang="en-US"/>
          </a:p>
        </c:txPr>
        <c:crossAx val="196801512"/>
        <c:crosses val="autoZero"/>
        <c:crossBetween val="midCat"/>
      </c:valAx>
      <c:spPr>
        <a:noFill/>
      </c:spPr>
    </c:plotArea>
    <c:legend>
      <c:legendPos val="b"/>
      <c:overlay val="0"/>
      <c:spPr>
        <a:noFill/>
        <a:ln>
          <a:noFill/>
          <a:round/>
        </a:ln>
        <a:effectLst/>
        <a:extLst>
          <a:ext uri="{91240B29-F687-4F45-9708-019B960494DF}">
            <a14:hiddenLine xmlns:a14="http://schemas.microsoft.com/office/drawing/2010/main">
              <a:noFill/>
              <a:round/>
            </a14:hiddenLine>
          </a:ext>
        </a:extLst>
      </c:spPr>
      <c:txPr>
        <a:bodyPr/>
        <a:lstStyle/>
        <a:p>
          <a:pPr>
            <a:defRPr sz="700" b="0" i="0">
              <a:solidFill>
                <a:sysClr val="windowText" lastClr="000000"/>
              </a:solidFill>
              <a:latin typeface="Arial"/>
              <a:ea typeface="Arial"/>
              <a:cs typeface="Arial"/>
            </a:defRPr>
          </a:pPr>
          <a:endParaRPr lang="en-US"/>
        </a:p>
      </c:txPr>
    </c:legend>
    <c:plotVisOnly val="1"/>
    <c:dispBlanksAs val="gap"/>
    <c:showDLblsOverMax val="0"/>
  </c:chart>
  <c:spPr>
    <a:noFill/>
    <a:ln w="25400">
      <a:no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7</xdr:col>
      <xdr:colOff>574200</xdr:colOff>
      <xdr:row>18</xdr:row>
      <xdr:rowOff>22500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7</xdr:col>
      <xdr:colOff>574200</xdr:colOff>
      <xdr:row>18</xdr:row>
      <xdr:rowOff>22500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152399</xdr:rowOff>
    </xdr:from>
    <xdr:to>
      <xdr:col>8</xdr:col>
      <xdr:colOff>345599</xdr:colOff>
      <xdr:row>18</xdr:row>
      <xdr:rowOff>60599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504825</xdr:colOff>
      <xdr:row>16</xdr:row>
      <xdr:rowOff>161925</xdr:rowOff>
    </xdr:from>
    <xdr:to>
      <xdr:col>2</xdr:col>
      <xdr:colOff>638175</xdr:colOff>
      <xdr:row>17</xdr:row>
      <xdr:rowOff>161925</xdr:rowOff>
    </xdr:to>
    <xdr:sp macro="" textlink="">
      <xdr:nvSpPr>
        <xdr:cNvPr id="2" name="Rectangle 1"/>
        <xdr:cNvSpPr/>
      </xdr:nvSpPr>
      <xdr:spPr>
        <a:xfrm>
          <a:off x="20135850" y="2762250"/>
          <a:ext cx="133350" cy="190500"/>
        </a:xfrm>
        <a:prstGeom prst="rect">
          <a:avLst/>
        </a:prstGeom>
        <a:pattFill prst="dkUpDiag">
          <a:fgClr>
            <a:srgbClr val="B2B2B2"/>
          </a:fgClr>
          <a:bgClr>
            <a:schemeClr val="bg1"/>
          </a:bgClr>
        </a:patt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AU" sz="1100"/>
        </a:p>
      </xdr:txBody>
    </xdr:sp>
    <xdr:clientData/>
  </xdr:twoCellAnchor>
  <xdr:twoCellAnchor>
    <xdr:from>
      <xdr:col>4</xdr:col>
      <xdr:colOff>504825</xdr:colOff>
      <xdr:row>16</xdr:row>
      <xdr:rowOff>171450</xdr:rowOff>
    </xdr:from>
    <xdr:to>
      <xdr:col>4</xdr:col>
      <xdr:colOff>638175</xdr:colOff>
      <xdr:row>17</xdr:row>
      <xdr:rowOff>171450</xdr:rowOff>
    </xdr:to>
    <xdr:sp macro="" textlink="">
      <xdr:nvSpPr>
        <xdr:cNvPr id="6" name="Rectangle 5"/>
        <xdr:cNvSpPr/>
      </xdr:nvSpPr>
      <xdr:spPr>
        <a:xfrm>
          <a:off x="21507450" y="2771775"/>
          <a:ext cx="133350" cy="190500"/>
        </a:xfrm>
        <a:prstGeom prst="rect">
          <a:avLst/>
        </a:prstGeom>
        <a:solidFill>
          <a:srgbClr val="5F5F5F"/>
        </a:solidFill>
        <a:ln>
          <a:solidFill>
            <a:srgbClr val="5F5F5F"/>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AU"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8</xdr:col>
      <xdr:colOff>345600</xdr:colOff>
      <xdr:row>18</xdr:row>
      <xdr:rowOff>22500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190499</xdr:rowOff>
    </xdr:from>
    <xdr:to>
      <xdr:col>8</xdr:col>
      <xdr:colOff>345600</xdr:colOff>
      <xdr:row>38</xdr:row>
      <xdr:rowOff>151499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190499</xdr:rowOff>
    </xdr:from>
    <xdr:to>
      <xdr:col>8</xdr:col>
      <xdr:colOff>345600</xdr:colOff>
      <xdr:row>38</xdr:row>
      <xdr:rowOff>151499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xdr:row>
      <xdr:rowOff>0</xdr:rowOff>
    </xdr:from>
    <xdr:to>
      <xdr:col>8</xdr:col>
      <xdr:colOff>345600</xdr:colOff>
      <xdr:row>21</xdr:row>
      <xdr:rowOff>171000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xdr:row>
      <xdr:rowOff>0</xdr:rowOff>
    </xdr:from>
    <xdr:to>
      <xdr:col>8</xdr:col>
      <xdr:colOff>312942</xdr:colOff>
      <xdr:row>21</xdr:row>
      <xdr:rowOff>171000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aemo.com.au/Electricity/National-Electricity-Market-NEM/Planning-and-forecasting/National-Transmission-Network-Development-Plan"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forecasting.aemo.com.au/" TargetMode="External"/><Relationship Id="rId1" Type="http://schemas.openxmlformats.org/officeDocument/2006/relationships/hyperlink" Target="http://forecasting.aemo.com.au/"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gbb.aemo.com.au/Reports/Standing%20Capacities.asp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46"/>
  <sheetViews>
    <sheetView showGridLines="0" tabSelected="1" workbookViewId="0"/>
  </sheetViews>
  <sheetFormatPr defaultRowHeight="20.100000000000001" customHeight="1" x14ac:dyDescent="0.2"/>
  <cols>
    <col min="1" max="1" width="3.375" style="41" customWidth="1"/>
    <col min="2" max="2" width="99.75" style="41" customWidth="1"/>
    <col min="3" max="3" width="78.25" style="41" bestFit="1" customWidth="1"/>
    <col min="4" max="4" width="10.125" style="41" bestFit="1" customWidth="1"/>
    <col min="5" max="7" width="9" style="41"/>
    <col min="8" max="8" width="14.625" style="41" bestFit="1" customWidth="1"/>
    <col min="9" max="9" width="74.125" style="41" bestFit="1" customWidth="1"/>
    <col min="10" max="10" width="10.125" style="41" bestFit="1" customWidth="1"/>
    <col min="11" max="16384" width="9" style="41"/>
  </cols>
  <sheetData>
    <row r="1" spans="2:3" ht="6.95" customHeight="1" x14ac:dyDescent="0.2"/>
    <row r="2" spans="2:3" s="43" customFormat="1" ht="20.100000000000001" customHeight="1" x14ac:dyDescent="0.2">
      <c r="B2" s="42" t="s">
        <v>7</v>
      </c>
    </row>
    <row r="3" spans="2:3" s="43" customFormat="1" ht="30" customHeight="1" x14ac:dyDescent="0.2">
      <c r="B3" s="44" t="s">
        <v>439</v>
      </c>
    </row>
    <row r="4" spans="2:3" s="43" customFormat="1" ht="6.95" customHeight="1" x14ac:dyDescent="0.2"/>
    <row r="5" spans="2:3" s="43" customFormat="1" ht="15" customHeight="1" x14ac:dyDescent="0.2">
      <c r="B5" s="44" t="s">
        <v>15</v>
      </c>
    </row>
    <row r="6" spans="2:3" ht="9.9499999999999993" customHeight="1" x14ac:dyDescent="0.2"/>
    <row r="7" spans="2:3" ht="20.100000000000001" customHeight="1" x14ac:dyDescent="0.2">
      <c r="B7" s="42" t="s">
        <v>8</v>
      </c>
    </row>
    <row r="8" spans="2:3" ht="15" customHeight="1" x14ac:dyDescent="0.2">
      <c r="B8" s="41" t="str">
        <f>'Table 1'!A3</f>
        <v>Table 1 Minimum LCOEs of natural gas, wind, and solar PV technologies</v>
      </c>
    </row>
    <row r="9" spans="2:3" ht="15" customHeight="1" x14ac:dyDescent="0.2">
      <c r="B9" s="41" t="str">
        <f>'Table 2'!A3</f>
        <v xml:space="preserve">Table 2 List of existing generators by fuel type in South Australia </v>
      </c>
    </row>
    <row r="10" spans="2:3" ht="15" customHeight="1" x14ac:dyDescent="0.2">
      <c r="B10" s="41" t="str">
        <f>'Table 3'!A3</f>
        <v>Table 3 Summary of South Australian generation projects and network investments</v>
      </c>
      <c r="C10" s="101"/>
    </row>
    <row r="11" spans="2:3" ht="15" customHeight="1" x14ac:dyDescent="0.2">
      <c r="B11" s="41" t="str">
        <f>'Table 4'!A3</f>
        <v>Table 4 South Australian gas consumption 2013–16</v>
      </c>
      <c r="C11" s="101"/>
    </row>
    <row r="12" spans="2:3" ht="15" customHeight="1" x14ac:dyDescent="0.2">
      <c r="B12" s="41" t="str">
        <f>'Table 5'!A3</f>
        <v>Table 5 Major gas pipelines relating to South Australia*</v>
      </c>
      <c r="C12" s="101"/>
    </row>
    <row r="13" spans="2:3" ht="15" customHeight="1" x14ac:dyDescent="0.2">
      <c r="B13" s="41" t="str">
        <f>'Table 6'!A3</f>
        <v>Table 6 Feedstock groupings in South Australia</v>
      </c>
      <c r="C13" s="101"/>
    </row>
    <row r="14" spans="2:3" ht="15" customHeight="1" x14ac:dyDescent="0.2">
      <c r="B14" s="41" t="str">
        <f>'Table 7'!A3</f>
        <v>Table 7 Existing bio-energy materials in South Australia</v>
      </c>
      <c r="C14" s="101"/>
    </row>
    <row r="15" spans="2:3" ht="15" customHeight="1" x14ac:dyDescent="0.2">
      <c r="B15" s="41" t="str">
        <f>'Table 8'!A3</f>
        <v>Table 8 Prospective bioenergy feedstocks in South Australia</v>
      </c>
      <c r="C15" s="101"/>
    </row>
    <row r="16" spans="2:3" ht="15" customHeight="1" x14ac:dyDescent="0.2">
      <c r="B16" s="41" t="str">
        <f>'Table 9'!A3</f>
        <v>Table 9 South Australian coal resources</v>
      </c>
      <c r="C16" s="101"/>
    </row>
    <row r="17" spans="2:3" ht="15" customHeight="1" x14ac:dyDescent="0.2">
      <c r="B17" s="41" t="str">
        <f>'Table 10'!A3</f>
        <v xml:space="preserve">Table 10 Development interest by technology in NEM regions </v>
      </c>
      <c r="C17" s="101"/>
    </row>
    <row r="18" spans="2:3" ht="15" customHeight="1" x14ac:dyDescent="0.2">
      <c r="B18" s="41" t="str">
        <f>'Table 11'!A3</f>
        <v>Table 11 Gas-fired generation technologies in South Australia as at 28 February 2017</v>
      </c>
      <c r="C18" s="101"/>
    </row>
    <row r="19" spans="2:3" ht="15" customHeight="1" x14ac:dyDescent="0.2">
      <c r="B19" s="41" t="str">
        <f>'Table 12'!A3</f>
        <v>Table 12 Publicly announced OCGT and CCGT in South Australia as at 28 February 2017</v>
      </c>
      <c r="C19" s="101"/>
    </row>
    <row r="20" spans="2:3" ht="15" customHeight="1" x14ac:dyDescent="0.2">
      <c r="B20" s="41" t="str">
        <f>'Table 13'!A3</f>
        <v>Table 13 Largest bioenergy projects</v>
      </c>
      <c r="C20" s="101"/>
    </row>
    <row r="21" spans="2:3" ht="15" customHeight="1" x14ac:dyDescent="0.2">
      <c r="B21" s="41" t="str">
        <f>'Table 14'!A3</f>
        <v>Table 14 Applications for electricity storage</v>
      </c>
      <c r="C21" s="101"/>
    </row>
    <row r="22" spans="2:3" ht="15" customHeight="1" x14ac:dyDescent="0.2">
      <c r="B22" s="41" t="str">
        <f>'Table 15'!A3</f>
        <v>Table 15 List of energy storage technologies</v>
      </c>
      <c r="C22" s="101"/>
    </row>
    <row r="23" spans="2:3" ht="15" customHeight="1" x14ac:dyDescent="0.2">
      <c r="B23" s="41" t="str">
        <f>'Table 16'!A3</f>
        <v>Table 16 Australian large-scale pumped hydro storage capacity as at 28 February 2017</v>
      </c>
      <c r="C23" s="101"/>
    </row>
    <row r="24" spans="2:3" ht="15" customHeight="1" x14ac:dyDescent="0.2">
      <c r="B24" s="41" t="str">
        <f>'Table 17'!A3</f>
        <v>Table 17 Prominent battery storage projects in South Australia</v>
      </c>
      <c r="C24" s="101"/>
    </row>
    <row r="25" spans="2:3" ht="15" customHeight="1" x14ac:dyDescent="0.2">
      <c r="B25" s="41" t="str">
        <f>'Table 18'!A3</f>
        <v>Table 18 List of battery rechargeable electric vehicles</v>
      </c>
      <c r="C25" s="101"/>
    </row>
    <row r="26" spans="2:3" ht="15" customHeight="1" x14ac:dyDescent="0.2">
      <c r="B26" s="41" t="str">
        <f>'Table 19'!A3</f>
        <v xml:space="preserve">Table 19 Total number of electric vehicles sold by April 2015 </v>
      </c>
      <c r="C26" s="101"/>
    </row>
    <row r="27" spans="2:3" ht="15" customHeight="1" x14ac:dyDescent="0.2">
      <c r="B27" s="41" t="str">
        <f>'Table 20'!A3</f>
        <v>Table 20 Installed generation capacity in the NEM in terms of physical attributes as at June 2016</v>
      </c>
      <c r="C27" s="101"/>
    </row>
    <row r="28" spans="2:3" ht="15" customHeight="1" x14ac:dyDescent="0.2">
      <c r="B28" s="41" t="str">
        <f>'Table 21'!A3</f>
        <v xml:space="preserve">Table 21 Summary of potential technical solutions for the identified challenges </v>
      </c>
      <c r="C28" s="101"/>
    </row>
    <row r="29" spans="2:3" ht="15" customHeight="1" x14ac:dyDescent="0.2">
      <c r="B29" s="41" t="str">
        <f>'Table 22'!A3</f>
        <v xml:space="preserve">Table 22 LCOE and emissions comparison across renewable technologies </v>
      </c>
      <c r="C29" s="101"/>
    </row>
    <row r="30" spans="2:3" ht="15" customHeight="1" x14ac:dyDescent="0.2">
      <c r="B30" s="41" t="str">
        <f>'Table 23'!A3</f>
        <v>Table 23 LCOE and emissions comparison across non-renewable technologies</v>
      </c>
      <c r="C30" s="101"/>
    </row>
    <row r="31" spans="2:3" ht="15" customHeight="1" x14ac:dyDescent="0.2">
      <c r="B31" s="41" t="str">
        <f>'Table 24'!A3</f>
        <v>Table 24 LCOE and emissions comparison across storage technologies</v>
      </c>
      <c r="C31" s="101"/>
    </row>
    <row r="32" spans="2:3" ht="15" customHeight="1" x14ac:dyDescent="0.2">
      <c r="B32" s="41" t="str">
        <f>'Table 25'!A3</f>
        <v>Table 25 Generation technology frontier</v>
      </c>
      <c r="C32" s="101"/>
    </row>
    <row r="33" spans="2:3" ht="15" customHeight="1" x14ac:dyDescent="0.2">
      <c r="B33" s="41" t="str">
        <f>'Table 26'!A3</f>
        <v xml:space="preserve">Table 26 Input assumptions of each technology </v>
      </c>
      <c r="C33" s="101"/>
    </row>
    <row r="34" spans="2:3" ht="15" customHeight="1" x14ac:dyDescent="0.2">
      <c r="B34" s="41" t="str">
        <f>'Table 27'!A3</f>
        <v>Table 27 LCOE and emissions input data - renewable</v>
      </c>
      <c r="C34" s="101"/>
    </row>
    <row r="35" spans="2:3" ht="15" customHeight="1" x14ac:dyDescent="0.2">
      <c r="B35" s="41" t="str">
        <f>'Table 29'!A3</f>
        <v>Table 29 2017 minimum LCOE with carbon price in South Australia</v>
      </c>
      <c r="C35" s="101"/>
    </row>
    <row r="36" spans="2:3" ht="15" customHeight="1" x14ac:dyDescent="0.2">
      <c r="B36" s="41" t="str">
        <f>'Table 29'!A3</f>
        <v>Table 29 2017 minimum LCOE with carbon price in South Australia</v>
      </c>
      <c r="C36" s="101"/>
    </row>
    <row r="37" spans="2:3" ht="9.9499999999999993" customHeight="1" x14ac:dyDescent="0.2"/>
    <row r="38" spans="2:3" ht="20.100000000000001" customHeight="1" x14ac:dyDescent="0.2">
      <c r="B38" s="42" t="s">
        <v>9</v>
      </c>
    </row>
    <row r="39" spans="2:3" s="45" customFormat="1" ht="15" customHeight="1" x14ac:dyDescent="0.2">
      <c r="B39" s="41" t="str">
        <f>'Figure 1'!A3</f>
        <v>Figure 1 South Australian registered capacity and generation output in 2015–16</v>
      </c>
      <c r="C39" s="102"/>
    </row>
    <row r="40" spans="2:3" s="45" customFormat="1" ht="15" customHeight="1" x14ac:dyDescent="0.2">
      <c r="B40" s="41" t="str">
        <f>'Figure 2'!A3</f>
        <v>Figure 2 South Australian registered capacity and generation output in July – December 2016</v>
      </c>
      <c r="C40" s="102"/>
    </row>
    <row r="41" spans="2:3" s="45" customFormat="1" ht="15" customHeight="1" x14ac:dyDescent="0.2">
      <c r="B41" s="41" t="str">
        <f>'Figure 3'!A3</f>
        <v>Figure 3 Advanced, committed, and developed capacities in the NEM regions from 2014–15 to 2016–17</v>
      </c>
      <c r="C41" s="102"/>
    </row>
    <row r="42" spans="2:3" s="45" customFormat="1" ht="15" customHeight="1" x14ac:dyDescent="0.2">
      <c r="B42" s="41" t="str">
        <f>'Figure 6'!A3</f>
        <v>Figure 6 South Australian total annual GPG gas consumption forecast and projected gas shortfalls</v>
      </c>
      <c r="C42" s="102"/>
    </row>
    <row r="43" spans="2:3" s="45" customFormat="1" ht="15" customHeight="1" x14ac:dyDescent="0.2">
      <c r="B43" s="41" t="str">
        <f>'Figure 21'!A3</f>
        <v>Figure 21 South Australian LCOE versus capacity factor</v>
      </c>
      <c r="C43" s="102"/>
    </row>
    <row r="44" spans="2:3" ht="15" customHeight="1" x14ac:dyDescent="0.2">
      <c r="B44" s="41" t="str">
        <f>'Figure 22'!A3</f>
        <v xml:space="preserve">Figure 22 NEM LCOE versus capacity factor </v>
      </c>
    </row>
    <row r="45" spans="2:3" ht="15" customHeight="1" x14ac:dyDescent="0.2">
      <c r="B45" s="41" t="str">
        <f>'Figure 23'!A3</f>
        <v>Figure 23 South Australia emissions at minimum LCOE</v>
      </c>
    </row>
    <row r="46" spans="2:3" ht="15" customHeight="1" x14ac:dyDescent="0.2">
      <c r="B46" s="41" t="str">
        <f>'Figure 24'!A3</f>
        <v>Figure 24 NEM emissions at minimum LCOE</v>
      </c>
    </row>
  </sheetData>
  <sortState ref="A1:B10">
    <sortCondition ref="A1"/>
  </sortState>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zoomScaleNormal="100" workbookViewId="0"/>
  </sheetViews>
  <sheetFormatPr defaultRowHeight="15" customHeight="1" x14ac:dyDescent="0.2"/>
  <cols>
    <col min="1" max="1" width="14.375" style="5" customWidth="1"/>
    <col min="2" max="4" width="9" style="5" customWidth="1"/>
    <col min="5" max="16384" width="9" style="5"/>
  </cols>
  <sheetData>
    <row r="1" spans="1:11" ht="15" customHeight="1" x14ac:dyDescent="0.2">
      <c r="A1" s="101" t="s">
        <v>487</v>
      </c>
    </row>
    <row r="3" spans="1:11" ht="15" customHeight="1" x14ac:dyDescent="0.2">
      <c r="A3" s="1" t="s">
        <v>448</v>
      </c>
      <c r="B3" s="1"/>
      <c r="C3" s="1"/>
      <c r="D3" s="1"/>
      <c r="E3" s="1"/>
      <c r="F3" s="1"/>
      <c r="G3" s="1"/>
    </row>
    <row r="4" spans="1:11" ht="15" customHeight="1" thickBot="1" x14ac:dyDescent="0.25">
      <c r="A4" s="34" t="s">
        <v>33</v>
      </c>
      <c r="B4" s="34" t="s">
        <v>34</v>
      </c>
      <c r="C4" s="34" t="s">
        <v>35</v>
      </c>
      <c r="D4" s="34" t="s">
        <v>36</v>
      </c>
      <c r="E4" s="34" t="s">
        <v>37</v>
      </c>
      <c r="F4" s="34" t="s">
        <v>38</v>
      </c>
      <c r="G4" s="34" t="s">
        <v>39</v>
      </c>
      <c r="H4" s="34" t="s">
        <v>40</v>
      </c>
      <c r="I4" s="34" t="s">
        <v>41</v>
      </c>
      <c r="J4" s="34" t="s">
        <v>42</v>
      </c>
      <c r="K4" s="34" t="s">
        <v>43</v>
      </c>
    </row>
    <row r="5" spans="1:11" ht="15" customHeight="1" thickBot="1" x14ac:dyDescent="0.25">
      <c r="A5" s="32" t="s">
        <v>44</v>
      </c>
      <c r="B5" s="3" t="s">
        <v>45</v>
      </c>
      <c r="C5" s="15">
        <v>623</v>
      </c>
      <c r="D5" s="15">
        <v>9292</v>
      </c>
      <c r="E5" s="15">
        <v>9915</v>
      </c>
      <c r="F5" s="15">
        <v>9471</v>
      </c>
      <c r="G5" s="15">
        <v>141234</v>
      </c>
      <c r="H5" s="15">
        <v>150704</v>
      </c>
      <c r="I5" s="20">
        <v>134.44999999999999</v>
      </c>
      <c r="J5" s="20">
        <v>-28.29</v>
      </c>
      <c r="K5" s="21">
        <v>15.2</v>
      </c>
    </row>
    <row r="6" spans="1:11" ht="15" customHeight="1" thickBot="1" x14ac:dyDescent="0.25">
      <c r="A6" s="32" t="s">
        <v>46</v>
      </c>
      <c r="B6" s="4" t="s">
        <v>45</v>
      </c>
      <c r="C6" s="22">
        <v>135</v>
      </c>
      <c r="D6" s="22">
        <v>317</v>
      </c>
      <c r="E6" s="22">
        <v>452</v>
      </c>
      <c r="F6" s="22">
        <v>2700</v>
      </c>
      <c r="G6" s="22">
        <v>6336</v>
      </c>
      <c r="H6" s="22">
        <v>9036</v>
      </c>
      <c r="I6" s="23">
        <v>138.41999999999999</v>
      </c>
      <c r="J6" s="23">
        <v>-30.48</v>
      </c>
      <c r="K6" s="24">
        <v>20</v>
      </c>
    </row>
    <row r="7" spans="1:11" ht="15" customHeight="1" thickBot="1" x14ac:dyDescent="0.25">
      <c r="A7" s="32" t="s">
        <v>47</v>
      </c>
      <c r="B7" s="3" t="s">
        <v>45</v>
      </c>
      <c r="C7" s="15">
        <v>0</v>
      </c>
      <c r="D7" s="15">
        <v>560</v>
      </c>
      <c r="E7" s="15">
        <v>560</v>
      </c>
      <c r="F7" s="15">
        <v>0</v>
      </c>
      <c r="G7" s="15">
        <v>8504</v>
      </c>
      <c r="H7" s="15">
        <v>8504</v>
      </c>
      <c r="I7" s="20">
        <v>137.76</v>
      </c>
      <c r="J7" s="20">
        <v>-34.14</v>
      </c>
      <c r="K7" s="21">
        <v>15.2</v>
      </c>
    </row>
    <row r="8" spans="1:11" ht="15" customHeight="1" thickBot="1" x14ac:dyDescent="0.25">
      <c r="A8" s="32" t="s">
        <v>48</v>
      </c>
      <c r="B8" s="4" t="s">
        <v>49</v>
      </c>
      <c r="C8" s="22">
        <v>513</v>
      </c>
      <c r="D8" s="22">
        <v>1746</v>
      </c>
      <c r="E8" s="22">
        <v>2259</v>
      </c>
      <c r="F8" s="22">
        <v>6413</v>
      </c>
      <c r="G8" s="22">
        <v>21825</v>
      </c>
      <c r="H8" s="22">
        <v>28238</v>
      </c>
      <c r="I8" s="23">
        <v>128.61000000000001</v>
      </c>
      <c r="J8" s="23">
        <v>-32.06</v>
      </c>
      <c r="K8" s="24">
        <v>12.5</v>
      </c>
    </row>
    <row r="9" spans="1:11" ht="15" customHeight="1" thickBot="1" x14ac:dyDescent="0.25">
      <c r="A9" s="32" t="s">
        <v>50</v>
      </c>
      <c r="B9" s="3" t="s">
        <v>49</v>
      </c>
      <c r="C9" s="15">
        <v>0</v>
      </c>
      <c r="D9" s="15">
        <v>13523</v>
      </c>
      <c r="E9" s="15">
        <v>13523</v>
      </c>
      <c r="F9" s="15">
        <v>0</v>
      </c>
      <c r="G9" s="15">
        <v>133696</v>
      </c>
      <c r="H9" s="15">
        <v>133696</v>
      </c>
      <c r="I9" s="20">
        <v>142.74</v>
      </c>
      <c r="J9" s="20">
        <v>-35.94</v>
      </c>
      <c r="K9" s="21">
        <v>9.9</v>
      </c>
    </row>
    <row r="10" spans="1:11" ht="15" customHeight="1" thickBot="1" x14ac:dyDescent="0.25">
      <c r="A10" s="32" t="s">
        <v>3</v>
      </c>
      <c r="B10" s="4"/>
      <c r="C10" s="25">
        <v>1271</v>
      </c>
      <c r="D10" s="25">
        <v>25437</v>
      </c>
      <c r="E10" s="25">
        <v>26708</v>
      </c>
      <c r="F10" s="25">
        <v>18584</v>
      </c>
      <c r="G10" s="25">
        <v>311595</v>
      </c>
      <c r="H10" s="25">
        <v>330178</v>
      </c>
      <c r="I10" s="22"/>
      <c r="J10" s="22"/>
      <c r="K10" s="22"/>
    </row>
  </sheetData>
  <hyperlinks>
    <hyperlink ref="A1" location="Index!A1" display="Back to Index tab"/>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zoomScaleNormal="100" workbookViewId="0">
      <selection activeCell="B5" sqref="B5"/>
    </sheetView>
  </sheetViews>
  <sheetFormatPr defaultRowHeight="15" customHeight="1" x14ac:dyDescent="0.2"/>
  <cols>
    <col min="1" max="1" width="28" style="5" customWidth="1"/>
    <col min="2" max="6" width="10.625" style="5" customWidth="1"/>
    <col min="7" max="16384" width="9" style="5"/>
  </cols>
  <sheetData>
    <row r="1" spans="1:6" ht="15" customHeight="1" x14ac:dyDescent="0.2">
      <c r="A1" s="101" t="s">
        <v>487</v>
      </c>
    </row>
    <row r="3" spans="1:6" ht="15" customHeight="1" x14ac:dyDescent="0.2">
      <c r="A3" s="1" t="s">
        <v>452</v>
      </c>
    </row>
    <row r="4" spans="1:6" ht="15" customHeight="1" thickBot="1" x14ac:dyDescent="0.25">
      <c r="A4" s="192" t="s">
        <v>27</v>
      </c>
      <c r="B4" s="198" t="s">
        <v>511</v>
      </c>
      <c r="C4" s="199"/>
      <c r="D4" s="199"/>
      <c r="E4" s="199"/>
      <c r="F4" s="199"/>
    </row>
    <row r="5" spans="1:6" ht="15" customHeight="1" x14ac:dyDescent="0.2">
      <c r="A5" s="192"/>
      <c r="B5" s="98" t="s">
        <v>103</v>
      </c>
      <c r="C5" s="98" t="s">
        <v>115</v>
      </c>
      <c r="D5" s="98" t="s">
        <v>24</v>
      </c>
      <c r="E5" s="98" t="s">
        <v>195</v>
      </c>
      <c r="F5" s="99" t="s">
        <v>107</v>
      </c>
    </row>
    <row r="6" spans="1:6" ht="15" customHeight="1" thickBot="1" x14ac:dyDescent="0.25">
      <c r="A6" s="32" t="s">
        <v>403</v>
      </c>
      <c r="B6" s="162" t="s">
        <v>234</v>
      </c>
      <c r="C6" s="162" t="s">
        <v>234</v>
      </c>
      <c r="D6" s="162" t="s">
        <v>234</v>
      </c>
      <c r="E6" s="87" t="s">
        <v>404</v>
      </c>
      <c r="F6" s="163" t="s">
        <v>234</v>
      </c>
    </row>
    <row r="7" spans="1:6" ht="15" customHeight="1" thickBot="1" x14ac:dyDescent="0.25">
      <c r="A7" s="32" t="s">
        <v>405</v>
      </c>
      <c r="B7" s="164" t="s">
        <v>234</v>
      </c>
      <c r="C7" s="164" t="s">
        <v>234</v>
      </c>
      <c r="D7" s="164" t="s">
        <v>234</v>
      </c>
      <c r="E7" s="164" t="s">
        <v>234</v>
      </c>
      <c r="F7" s="165" t="s">
        <v>234</v>
      </c>
    </row>
    <row r="8" spans="1:6" ht="15" customHeight="1" thickBot="1" x14ac:dyDescent="0.25">
      <c r="A8" s="32" t="s">
        <v>449</v>
      </c>
      <c r="B8" s="162" t="s">
        <v>234</v>
      </c>
      <c r="C8" s="162" t="s">
        <v>234</v>
      </c>
      <c r="D8" s="162" t="s">
        <v>234</v>
      </c>
      <c r="E8" s="87" t="s">
        <v>404</v>
      </c>
      <c r="F8" s="163" t="s">
        <v>234</v>
      </c>
    </row>
    <row r="9" spans="1:6" ht="15" customHeight="1" thickBot="1" x14ac:dyDescent="0.25">
      <c r="A9" s="32" t="s">
        <v>406</v>
      </c>
      <c r="B9" s="88" t="s">
        <v>404</v>
      </c>
      <c r="C9" s="88" t="s">
        <v>404</v>
      </c>
      <c r="D9" s="164" t="s">
        <v>234</v>
      </c>
      <c r="E9" s="88" t="s">
        <v>404</v>
      </c>
      <c r="F9" s="96" t="s">
        <v>404</v>
      </c>
    </row>
    <row r="10" spans="1:6" ht="15" customHeight="1" thickBot="1" x14ac:dyDescent="0.25">
      <c r="A10" s="32" t="s">
        <v>407</v>
      </c>
      <c r="B10" s="87" t="s">
        <v>404</v>
      </c>
      <c r="C10" s="87" t="s">
        <v>404</v>
      </c>
      <c r="D10" s="87" t="s">
        <v>404</v>
      </c>
      <c r="E10" s="87" t="s">
        <v>404</v>
      </c>
      <c r="F10" s="166" t="s">
        <v>404</v>
      </c>
    </row>
    <row r="11" spans="1:6" ht="15" customHeight="1" thickBot="1" x14ac:dyDescent="0.25">
      <c r="A11" s="32" t="s">
        <v>408</v>
      </c>
      <c r="B11" s="164" t="s">
        <v>234</v>
      </c>
      <c r="C11" s="164" t="s">
        <v>234</v>
      </c>
      <c r="D11" s="164" t="s">
        <v>234</v>
      </c>
      <c r="E11" s="88" t="s">
        <v>404</v>
      </c>
      <c r="F11" s="96" t="s">
        <v>404</v>
      </c>
    </row>
    <row r="12" spans="1:6" ht="15" customHeight="1" thickBot="1" x14ac:dyDescent="0.25">
      <c r="A12" s="32" t="s">
        <v>450</v>
      </c>
      <c r="B12" s="164" t="s">
        <v>234</v>
      </c>
      <c r="C12" s="87" t="s">
        <v>404</v>
      </c>
      <c r="D12" s="164" t="s">
        <v>234</v>
      </c>
      <c r="E12" s="87" t="s">
        <v>404</v>
      </c>
      <c r="F12" s="166" t="s">
        <v>404</v>
      </c>
    </row>
    <row r="13" spans="1:6" ht="15" customHeight="1" thickBot="1" x14ac:dyDescent="0.25">
      <c r="A13" s="32" t="s">
        <v>409</v>
      </c>
      <c r="B13" s="154" t="s">
        <v>404</v>
      </c>
      <c r="C13" s="154" t="s">
        <v>404</v>
      </c>
      <c r="D13" s="154" t="s">
        <v>404</v>
      </c>
      <c r="E13" s="154" t="s">
        <v>404</v>
      </c>
      <c r="F13" s="164" t="s">
        <v>234</v>
      </c>
    </row>
    <row r="14" spans="1:6" ht="15" customHeight="1" thickBot="1" x14ac:dyDescent="0.25">
      <c r="A14" s="32" t="s">
        <v>410</v>
      </c>
      <c r="B14" s="87" t="s">
        <v>404</v>
      </c>
      <c r="C14" s="87" t="s">
        <v>404</v>
      </c>
      <c r="D14" s="87" t="s">
        <v>404</v>
      </c>
      <c r="E14" s="87" t="s">
        <v>404</v>
      </c>
      <c r="F14" s="166" t="s">
        <v>404</v>
      </c>
    </row>
    <row r="15" spans="1:6" ht="15" customHeight="1" thickBot="1" x14ac:dyDescent="0.25">
      <c r="A15" s="32" t="s">
        <v>411</v>
      </c>
      <c r="B15" s="164" t="s">
        <v>234</v>
      </c>
      <c r="C15" s="88" t="s">
        <v>404</v>
      </c>
      <c r="D15" s="164" t="s">
        <v>234</v>
      </c>
      <c r="E15" s="88" t="s">
        <v>404</v>
      </c>
      <c r="F15" s="164" t="s">
        <v>234</v>
      </c>
    </row>
    <row r="16" spans="1:6" ht="15" customHeight="1" thickBot="1" x14ac:dyDescent="0.25">
      <c r="A16" s="32" t="s">
        <v>412</v>
      </c>
      <c r="B16" s="87" t="s">
        <v>404</v>
      </c>
      <c r="C16" s="87" t="s">
        <v>404</v>
      </c>
      <c r="D16" s="87" t="s">
        <v>404</v>
      </c>
      <c r="E16" s="87" t="s">
        <v>404</v>
      </c>
      <c r="F16" s="166" t="s">
        <v>404</v>
      </c>
    </row>
    <row r="17" spans="1:6" ht="15" customHeight="1" thickBot="1" x14ac:dyDescent="0.25">
      <c r="A17" s="31" t="s">
        <v>451</v>
      </c>
      <c r="B17" s="164" t="s">
        <v>234</v>
      </c>
      <c r="C17" s="164" t="s">
        <v>234</v>
      </c>
      <c r="D17" s="164" t="s">
        <v>234</v>
      </c>
      <c r="E17" s="89" t="s">
        <v>404</v>
      </c>
      <c r="F17" s="164" t="s">
        <v>234</v>
      </c>
    </row>
  </sheetData>
  <mergeCells count="2">
    <mergeCell ref="A4:A5"/>
    <mergeCell ref="B4:F4"/>
  </mergeCells>
  <hyperlinks>
    <hyperlink ref="B4" location="_ftn1" display="_ftn1"/>
    <hyperlink ref="A1" location="Index!A1" display="Back to Index tab"/>
  </hyperlink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ustomHeight="1" x14ac:dyDescent="0.2"/>
  <cols>
    <col min="1" max="1" width="18.25" style="5" customWidth="1"/>
    <col min="2" max="2" width="16.5" style="5" customWidth="1"/>
    <col min="3" max="3" width="16.25" style="5" bestFit="1" customWidth="1"/>
    <col min="4" max="16384" width="9" style="5"/>
  </cols>
  <sheetData>
    <row r="1" spans="1:3" ht="15" customHeight="1" x14ac:dyDescent="0.2">
      <c r="A1" s="101" t="s">
        <v>487</v>
      </c>
    </row>
    <row r="3" spans="1:3" ht="15" customHeight="1" x14ac:dyDescent="0.2">
      <c r="A3" s="1" t="s">
        <v>482</v>
      </c>
    </row>
    <row r="4" spans="1:3" ht="15" customHeight="1" thickBot="1" x14ac:dyDescent="0.25">
      <c r="A4" s="34" t="s">
        <v>171</v>
      </c>
      <c r="B4" s="34" t="s">
        <v>399</v>
      </c>
      <c r="C4" s="35" t="s">
        <v>177</v>
      </c>
    </row>
    <row r="5" spans="1:3" ht="15" customHeight="1" thickBot="1" x14ac:dyDescent="0.25">
      <c r="A5" s="32" t="s">
        <v>349</v>
      </c>
      <c r="B5" s="73">
        <v>156</v>
      </c>
      <c r="C5" s="200" t="s">
        <v>350</v>
      </c>
    </row>
    <row r="6" spans="1:3" ht="15" customHeight="1" thickBot="1" x14ac:dyDescent="0.25">
      <c r="A6" s="32" t="s">
        <v>354</v>
      </c>
      <c r="B6" s="70">
        <v>228.3</v>
      </c>
      <c r="C6" s="201"/>
    </row>
    <row r="7" spans="1:3" ht="15" customHeight="1" thickBot="1" x14ac:dyDescent="0.25">
      <c r="A7" s="32" t="s">
        <v>358</v>
      </c>
      <c r="B7" s="73">
        <v>80</v>
      </c>
      <c r="C7" s="201"/>
    </row>
    <row r="8" spans="1:3" ht="15" customHeight="1" thickBot="1" x14ac:dyDescent="0.25">
      <c r="A8" s="32" t="s">
        <v>362</v>
      </c>
      <c r="B8" s="70">
        <v>90</v>
      </c>
      <c r="C8" s="201"/>
    </row>
    <row r="9" spans="1:3" ht="15" customHeight="1" thickBot="1" x14ac:dyDescent="0.25">
      <c r="A9" s="32" t="s">
        <v>367</v>
      </c>
      <c r="B9" s="73">
        <v>224</v>
      </c>
      <c r="C9" s="202"/>
    </row>
    <row r="10" spans="1:3" ht="15" customHeight="1" thickBot="1" x14ac:dyDescent="0.25">
      <c r="A10" s="32" t="s">
        <v>363</v>
      </c>
      <c r="B10" s="70">
        <v>180</v>
      </c>
      <c r="C10" s="203" t="s">
        <v>364</v>
      </c>
    </row>
    <row r="11" spans="1:3" ht="15" customHeight="1" thickBot="1" x14ac:dyDescent="0.25">
      <c r="A11" s="32" t="s">
        <v>493</v>
      </c>
      <c r="B11" s="73">
        <v>478</v>
      </c>
      <c r="C11" s="204"/>
    </row>
    <row r="12" spans="1:3" ht="15" customHeight="1" thickBot="1" x14ac:dyDescent="0.25">
      <c r="A12" s="32" t="s">
        <v>371</v>
      </c>
      <c r="B12" s="70">
        <v>480</v>
      </c>
      <c r="C12" s="205" t="s">
        <v>512</v>
      </c>
    </row>
    <row r="13" spans="1:3" ht="15" customHeight="1" x14ac:dyDescent="0.2">
      <c r="A13" s="31" t="s">
        <v>372</v>
      </c>
      <c r="B13" s="85">
        <v>800</v>
      </c>
      <c r="C13" s="206"/>
    </row>
    <row r="14" spans="1:3" ht="15" customHeight="1" x14ac:dyDescent="0.2">
      <c r="A14" s="156" t="s">
        <v>494</v>
      </c>
    </row>
    <row r="15" spans="1:3" ht="15" customHeight="1" x14ac:dyDescent="0.2">
      <c r="A15" s="156" t="s">
        <v>513</v>
      </c>
      <c r="B15" s="66"/>
    </row>
  </sheetData>
  <mergeCells count="3">
    <mergeCell ref="C5:C9"/>
    <mergeCell ref="C10:C11"/>
    <mergeCell ref="C12:C13"/>
  </mergeCells>
  <hyperlinks>
    <hyperlink ref="A11" location="_ftn1" display="_ftn1"/>
    <hyperlink ref="A1" location="Index!A1" display="Back to Index tab"/>
  </hyperlink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ustomHeight="1" x14ac:dyDescent="0.2"/>
  <cols>
    <col min="1" max="1" width="23.625" style="5" customWidth="1"/>
    <col min="2" max="2" width="14.125" style="5" bestFit="1" customWidth="1"/>
    <col min="3" max="3" width="12.25" style="5" bestFit="1" customWidth="1"/>
    <col min="4" max="4" width="12.625" style="5" bestFit="1" customWidth="1"/>
    <col min="5" max="16384" width="9" style="5"/>
  </cols>
  <sheetData>
    <row r="1" spans="1:4" ht="15" customHeight="1" x14ac:dyDescent="0.2">
      <c r="A1" s="101" t="s">
        <v>487</v>
      </c>
    </row>
    <row r="3" spans="1:4" ht="15" customHeight="1" x14ac:dyDescent="0.2">
      <c r="A3" s="1" t="s">
        <v>483</v>
      </c>
    </row>
    <row r="4" spans="1:4" ht="30" customHeight="1" thickBot="1" x14ac:dyDescent="0.25">
      <c r="A4" s="34" t="s">
        <v>171</v>
      </c>
      <c r="B4" s="34" t="s">
        <v>413</v>
      </c>
      <c r="C4" s="34" t="s">
        <v>177</v>
      </c>
      <c r="D4" s="35" t="s">
        <v>20</v>
      </c>
    </row>
    <row r="5" spans="1:4" ht="15" customHeight="1" thickBot="1" x14ac:dyDescent="0.25">
      <c r="A5" s="32" t="s">
        <v>414</v>
      </c>
      <c r="B5" s="142">
        <v>320</v>
      </c>
      <c r="C5" s="88" t="s">
        <v>350</v>
      </c>
      <c r="D5" s="96" t="s">
        <v>415</v>
      </c>
    </row>
    <row r="6" spans="1:4" ht="15" customHeight="1" x14ac:dyDescent="0.2">
      <c r="A6" s="31" t="s">
        <v>416</v>
      </c>
      <c r="B6" s="143">
        <v>460</v>
      </c>
      <c r="C6" s="127" t="s">
        <v>364</v>
      </c>
      <c r="D6" s="97" t="s">
        <v>417</v>
      </c>
    </row>
  </sheetData>
  <hyperlinks>
    <hyperlink ref="A1" location="Index!A1" display="Back to Index tab"/>
  </hyperlink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zoomScaleNormal="100" workbookViewId="0"/>
  </sheetViews>
  <sheetFormatPr defaultRowHeight="14.25" x14ac:dyDescent="0.2"/>
  <cols>
    <col min="1" max="1" width="17.375" style="5" customWidth="1"/>
    <col min="2" max="2" width="4.375" style="5" bestFit="1" customWidth="1"/>
    <col min="3" max="3" width="11.75" style="5" bestFit="1" customWidth="1"/>
    <col min="4" max="4" width="9" style="5" bestFit="1" customWidth="1"/>
    <col min="5" max="5" width="13.25" style="5" bestFit="1" customWidth="1"/>
    <col min="6" max="6" width="10.5" style="5" bestFit="1" customWidth="1"/>
    <col min="7" max="16384" width="9" style="5"/>
  </cols>
  <sheetData>
    <row r="1" spans="1:6" x14ac:dyDescent="0.2">
      <c r="A1" s="101" t="s">
        <v>487</v>
      </c>
    </row>
    <row r="3" spans="1:6" x14ac:dyDescent="0.2">
      <c r="A3" s="1" t="s">
        <v>453</v>
      </c>
    </row>
    <row r="4" spans="1:6" ht="15" thickBot="1" x14ac:dyDescent="0.25">
      <c r="A4" s="34" t="s">
        <v>27</v>
      </c>
      <c r="B4" s="34" t="s">
        <v>98</v>
      </c>
      <c r="C4" s="18" t="s">
        <v>99</v>
      </c>
      <c r="D4" s="18" t="s">
        <v>100</v>
      </c>
      <c r="E4" s="18" t="s">
        <v>101</v>
      </c>
      <c r="F4" s="19" t="s">
        <v>4</v>
      </c>
    </row>
    <row r="5" spans="1:6" ht="15" thickBot="1" x14ac:dyDescent="0.25">
      <c r="A5" s="32" t="s">
        <v>102</v>
      </c>
      <c r="B5" s="92" t="s">
        <v>103</v>
      </c>
      <c r="C5" s="93" t="s">
        <v>104</v>
      </c>
      <c r="D5" s="92" t="s">
        <v>105</v>
      </c>
      <c r="E5" s="8">
        <v>2005</v>
      </c>
      <c r="F5" s="9">
        <v>68</v>
      </c>
    </row>
    <row r="6" spans="1:6" ht="15" thickBot="1" x14ac:dyDescent="0.25">
      <c r="A6" s="32" t="s">
        <v>106</v>
      </c>
      <c r="B6" s="92" t="s">
        <v>107</v>
      </c>
      <c r="C6" s="93" t="s">
        <v>108</v>
      </c>
      <c r="D6" s="92" t="s">
        <v>109</v>
      </c>
      <c r="E6" s="8" t="s">
        <v>110</v>
      </c>
      <c r="F6" s="9">
        <v>54.5</v>
      </c>
    </row>
    <row r="7" spans="1:6" ht="15" thickBot="1" x14ac:dyDescent="0.25">
      <c r="A7" s="32" t="s">
        <v>102</v>
      </c>
      <c r="B7" s="92" t="s">
        <v>103</v>
      </c>
      <c r="C7" s="93" t="s">
        <v>104</v>
      </c>
      <c r="D7" s="92" t="s">
        <v>111</v>
      </c>
      <c r="E7" s="8" t="s">
        <v>112</v>
      </c>
      <c r="F7" s="9">
        <v>50.5</v>
      </c>
    </row>
    <row r="8" spans="1:6" ht="15" thickBot="1" x14ac:dyDescent="0.25">
      <c r="A8" s="32" t="s">
        <v>102</v>
      </c>
      <c r="B8" s="92" t="s">
        <v>103</v>
      </c>
      <c r="C8" s="93" t="s">
        <v>113</v>
      </c>
      <c r="D8" s="92" t="s">
        <v>114</v>
      </c>
      <c r="E8" s="8">
        <v>2013</v>
      </c>
      <c r="F8" s="9">
        <v>38</v>
      </c>
    </row>
    <row r="9" spans="1:6" x14ac:dyDescent="0.2">
      <c r="A9" s="31" t="s">
        <v>102</v>
      </c>
      <c r="B9" s="94" t="s">
        <v>115</v>
      </c>
      <c r="C9" s="95" t="s">
        <v>116</v>
      </c>
      <c r="D9" s="94" t="s">
        <v>117</v>
      </c>
      <c r="E9" s="11">
        <v>2009</v>
      </c>
      <c r="F9" s="12">
        <v>30</v>
      </c>
    </row>
  </sheetData>
  <hyperlinks>
    <hyperlink ref="A1" location="Index!A1" display="Back to Index tab"/>
  </hyperlink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zoomScaleNormal="100" workbookViewId="0">
      <selection activeCell="A3" sqref="A3"/>
    </sheetView>
  </sheetViews>
  <sheetFormatPr defaultRowHeight="14.25" x14ac:dyDescent="0.2"/>
  <cols>
    <col min="1" max="1" width="17.125" style="5" customWidth="1"/>
    <col min="2" max="2" width="16.25" style="5" bestFit="1" customWidth="1"/>
    <col min="3" max="3" width="43.375" style="5" customWidth="1"/>
    <col min="4" max="16384" width="9" style="5"/>
  </cols>
  <sheetData>
    <row r="1" spans="1:6" x14ac:dyDescent="0.2">
      <c r="A1" s="101" t="s">
        <v>487</v>
      </c>
    </row>
    <row r="3" spans="1:6" x14ac:dyDescent="0.2">
      <c r="A3" s="1" t="s">
        <v>454</v>
      </c>
      <c r="D3" s="1"/>
      <c r="F3" s="1"/>
    </row>
    <row r="4" spans="1:6" ht="15" thickBot="1" x14ac:dyDescent="0.25">
      <c r="A4" s="34"/>
      <c r="B4" s="34" t="s">
        <v>118</v>
      </c>
      <c r="C4" s="35" t="s">
        <v>28</v>
      </c>
    </row>
    <row r="5" spans="1:6" ht="23.25" thickBot="1" x14ac:dyDescent="0.25">
      <c r="A5" s="189" t="s">
        <v>119</v>
      </c>
      <c r="B5" s="93" t="s">
        <v>120</v>
      </c>
      <c r="C5" s="27" t="s">
        <v>121</v>
      </c>
    </row>
    <row r="6" spans="1:6" ht="23.25" thickBot="1" x14ac:dyDescent="0.25">
      <c r="A6" s="190"/>
      <c r="B6" s="38" t="s">
        <v>122</v>
      </c>
      <c r="C6" s="29" t="s">
        <v>123</v>
      </c>
    </row>
    <row r="7" spans="1:6" ht="23.25" thickBot="1" x14ac:dyDescent="0.25">
      <c r="A7" s="190"/>
      <c r="B7" s="93" t="s">
        <v>124</v>
      </c>
      <c r="C7" s="27" t="s">
        <v>125</v>
      </c>
    </row>
    <row r="8" spans="1:6" ht="23.25" thickBot="1" x14ac:dyDescent="0.25">
      <c r="A8" s="191"/>
      <c r="B8" s="38" t="s">
        <v>126</v>
      </c>
      <c r="C8" s="29" t="s">
        <v>127</v>
      </c>
    </row>
    <row r="9" spans="1:6" ht="23.25" thickBot="1" x14ac:dyDescent="0.25">
      <c r="A9" s="189" t="s">
        <v>128</v>
      </c>
      <c r="B9" s="93" t="s">
        <v>129</v>
      </c>
      <c r="C9" s="27" t="s">
        <v>130</v>
      </c>
    </row>
    <row r="10" spans="1:6" ht="23.25" thickBot="1" x14ac:dyDescent="0.25">
      <c r="A10" s="190"/>
      <c r="B10" s="38" t="s">
        <v>131</v>
      </c>
      <c r="C10" s="29" t="s">
        <v>132</v>
      </c>
    </row>
    <row r="11" spans="1:6" ht="15" thickBot="1" x14ac:dyDescent="0.25">
      <c r="A11" s="190"/>
      <c r="B11" s="93" t="s">
        <v>133</v>
      </c>
      <c r="C11" s="27" t="s">
        <v>134</v>
      </c>
    </row>
    <row r="12" spans="1:6" ht="23.25" thickBot="1" x14ac:dyDescent="0.25">
      <c r="A12" s="191"/>
      <c r="B12" s="38" t="s">
        <v>135</v>
      </c>
      <c r="C12" s="29" t="s">
        <v>136</v>
      </c>
    </row>
    <row r="13" spans="1:6" ht="23.25" thickBot="1" x14ac:dyDescent="0.25">
      <c r="A13" s="189" t="s">
        <v>137</v>
      </c>
      <c r="B13" s="93" t="s">
        <v>138</v>
      </c>
      <c r="C13" s="27" t="s">
        <v>139</v>
      </c>
    </row>
    <row r="14" spans="1:6" ht="23.25" thickBot="1" x14ac:dyDescent="0.25">
      <c r="A14" s="191"/>
      <c r="B14" s="38" t="s">
        <v>133</v>
      </c>
      <c r="C14" s="29" t="s">
        <v>140</v>
      </c>
    </row>
    <row r="15" spans="1:6" ht="45.75" thickBot="1" x14ac:dyDescent="0.25">
      <c r="A15" s="189" t="s">
        <v>141</v>
      </c>
      <c r="B15" s="93" t="s">
        <v>142</v>
      </c>
      <c r="C15" s="27" t="s">
        <v>143</v>
      </c>
    </row>
    <row r="16" spans="1:6" ht="34.5" thickBot="1" x14ac:dyDescent="0.25">
      <c r="A16" s="190"/>
      <c r="B16" s="38" t="s">
        <v>144</v>
      </c>
      <c r="C16" s="29" t="s">
        <v>145</v>
      </c>
    </row>
    <row r="17" spans="1:3" ht="15" thickBot="1" x14ac:dyDescent="0.25">
      <c r="A17" s="190"/>
      <c r="B17" s="93" t="s">
        <v>146</v>
      </c>
      <c r="C17" s="27" t="s">
        <v>147</v>
      </c>
    </row>
    <row r="18" spans="1:3" ht="23.25" thickBot="1" x14ac:dyDescent="0.25">
      <c r="A18" s="190"/>
      <c r="B18" s="38" t="s">
        <v>148</v>
      </c>
      <c r="C18" s="29" t="s">
        <v>149</v>
      </c>
    </row>
    <row r="19" spans="1:3" ht="22.5" x14ac:dyDescent="0.2">
      <c r="A19" s="190"/>
      <c r="B19" s="95" t="s">
        <v>150</v>
      </c>
      <c r="C19" s="26" t="s">
        <v>151</v>
      </c>
    </row>
  </sheetData>
  <mergeCells count="4">
    <mergeCell ref="A5:A8"/>
    <mergeCell ref="A9:A12"/>
    <mergeCell ref="A13:A14"/>
    <mergeCell ref="A15:A19"/>
  </mergeCells>
  <hyperlinks>
    <hyperlink ref="A1" location="Index!A1" display="Back to Index tab"/>
  </hyperlink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zoomScaleNormal="100" workbookViewId="0">
      <selection activeCell="C11" sqref="C11"/>
    </sheetView>
  </sheetViews>
  <sheetFormatPr defaultRowHeight="14.25" x14ac:dyDescent="0.2"/>
  <cols>
    <col min="1" max="2" width="9" style="5"/>
    <col min="3" max="3" width="57.25" style="5" customWidth="1"/>
    <col min="4" max="16384" width="9" style="5"/>
  </cols>
  <sheetData>
    <row r="1" spans="1:3" x14ac:dyDescent="0.2">
      <c r="A1" s="101" t="s">
        <v>487</v>
      </c>
    </row>
    <row r="3" spans="1:3" x14ac:dyDescent="0.2">
      <c r="A3" s="1" t="s">
        <v>455</v>
      </c>
    </row>
    <row r="4" spans="1:3" ht="15" thickBot="1" x14ac:dyDescent="0.25">
      <c r="A4" s="207" t="s">
        <v>27</v>
      </c>
      <c r="B4" s="208"/>
      <c r="C4" s="167" t="s">
        <v>28</v>
      </c>
    </row>
    <row r="5" spans="1:3" ht="33.75" x14ac:dyDescent="0.2">
      <c r="A5" s="209" t="s">
        <v>515</v>
      </c>
      <c r="B5" s="210"/>
      <c r="C5" s="168" t="s">
        <v>152</v>
      </c>
    </row>
    <row r="6" spans="1:3" ht="34.5" thickBot="1" x14ac:dyDescent="0.25">
      <c r="A6" s="211"/>
      <c r="B6" s="212"/>
      <c r="C6" s="169" t="s">
        <v>153</v>
      </c>
    </row>
    <row r="7" spans="1:3" ht="33.75" x14ac:dyDescent="0.2">
      <c r="A7" s="209" t="s">
        <v>516</v>
      </c>
      <c r="B7" s="210"/>
      <c r="C7" s="170" t="s">
        <v>154</v>
      </c>
    </row>
    <row r="8" spans="1:3" ht="23.25" thickBot="1" x14ac:dyDescent="0.25">
      <c r="A8" s="211"/>
      <c r="B8" s="212"/>
      <c r="C8" s="171" t="s">
        <v>517</v>
      </c>
    </row>
    <row r="9" spans="1:3" ht="56.25" x14ac:dyDescent="0.2">
      <c r="A9" s="209" t="s">
        <v>155</v>
      </c>
      <c r="B9" s="210"/>
      <c r="C9" s="168" t="s">
        <v>156</v>
      </c>
    </row>
    <row r="10" spans="1:3" ht="23.25" thickBot="1" x14ac:dyDescent="0.25">
      <c r="A10" s="211"/>
      <c r="B10" s="212"/>
      <c r="C10" s="169" t="s">
        <v>157</v>
      </c>
    </row>
    <row r="11" spans="1:3" ht="34.5" thickBot="1" x14ac:dyDescent="0.25">
      <c r="A11" s="213" t="s">
        <v>158</v>
      </c>
      <c r="B11" s="214"/>
      <c r="C11" s="171" t="s">
        <v>159</v>
      </c>
    </row>
    <row r="12" spans="1:3" ht="22.5" x14ac:dyDescent="0.2">
      <c r="A12" s="209" t="s">
        <v>160</v>
      </c>
      <c r="B12" s="210"/>
      <c r="C12" s="168" t="s">
        <v>161</v>
      </c>
    </row>
    <row r="13" spans="1:3" ht="15" thickBot="1" x14ac:dyDescent="0.25">
      <c r="A13" s="211"/>
      <c r="B13" s="212"/>
      <c r="C13" s="169" t="s">
        <v>162</v>
      </c>
    </row>
    <row r="14" spans="1:3" ht="23.25" thickBot="1" x14ac:dyDescent="0.25">
      <c r="A14" s="213" t="s">
        <v>163</v>
      </c>
      <c r="B14" s="214"/>
      <c r="C14" s="171" t="s">
        <v>164</v>
      </c>
    </row>
    <row r="15" spans="1:3" ht="23.25" thickBot="1" x14ac:dyDescent="0.25">
      <c r="A15" s="209" t="s">
        <v>514</v>
      </c>
      <c r="B15" s="210"/>
      <c r="C15" s="171" t="s">
        <v>165</v>
      </c>
    </row>
    <row r="16" spans="1:3" ht="34.5" thickBot="1" x14ac:dyDescent="0.25">
      <c r="A16" s="215"/>
      <c r="B16" s="172" t="s">
        <v>518</v>
      </c>
      <c r="C16" s="171" t="s">
        <v>166</v>
      </c>
    </row>
    <row r="17" spans="1:3" ht="45.75" thickBot="1" x14ac:dyDescent="0.25">
      <c r="A17" s="215"/>
      <c r="B17" s="172" t="s">
        <v>519</v>
      </c>
      <c r="C17" s="171" t="s">
        <v>167</v>
      </c>
    </row>
    <row r="18" spans="1:3" ht="34.5" thickBot="1" x14ac:dyDescent="0.25">
      <c r="A18" s="215"/>
      <c r="B18" s="172" t="s">
        <v>520</v>
      </c>
      <c r="C18" s="171" t="s">
        <v>168</v>
      </c>
    </row>
    <row r="19" spans="1:3" ht="45.75" thickBot="1" x14ac:dyDescent="0.25">
      <c r="A19" s="215"/>
      <c r="B19" s="172" t="s">
        <v>522</v>
      </c>
      <c r="C19" s="171" t="s">
        <v>169</v>
      </c>
    </row>
    <row r="20" spans="1:3" ht="56.25" x14ac:dyDescent="0.2">
      <c r="A20" s="215"/>
      <c r="B20" s="172" t="s">
        <v>521</v>
      </c>
      <c r="C20" s="170" t="s">
        <v>170</v>
      </c>
    </row>
  </sheetData>
  <mergeCells count="9">
    <mergeCell ref="A12:B13"/>
    <mergeCell ref="A14:B14"/>
    <mergeCell ref="A15:B15"/>
    <mergeCell ref="A16:A20"/>
    <mergeCell ref="A4:B4"/>
    <mergeCell ref="A5:B6"/>
    <mergeCell ref="A7:B8"/>
    <mergeCell ref="A9:B10"/>
    <mergeCell ref="A11:B11"/>
  </mergeCells>
  <hyperlinks>
    <hyperlink ref="A1" location="Index!A1" display="Back to Index tab"/>
  </hyperlink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4.25" x14ac:dyDescent="0.2"/>
  <cols>
    <col min="1" max="1" width="15.625" style="5" customWidth="1"/>
    <col min="2" max="2" width="5.625" style="5" bestFit="1" customWidth="1"/>
    <col min="3" max="3" width="14.75" style="5" bestFit="1" customWidth="1"/>
    <col min="4" max="16384" width="9" style="5"/>
  </cols>
  <sheetData>
    <row r="1" spans="1:3" x14ac:dyDescent="0.2">
      <c r="A1" s="101" t="s">
        <v>487</v>
      </c>
    </row>
    <row r="3" spans="1:3" x14ac:dyDescent="0.2">
      <c r="A3" s="1" t="s">
        <v>484</v>
      </c>
    </row>
    <row r="4" spans="1:3" ht="15" thickBot="1" x14ac:dyDescent="0.25">
      <c r="A4" s="34" t="s">
        <v>171</v>
      </c>
      <c r="B4" s="34" t="s">
        <v>57</v>
      </c>
      <c r="C4" s="35" t="s">
        <v>440</v>
      </c>
    </row>
    <row r="5" spans="1:3" ht="15" thickBot="1" x14ac:dyDescent="0.25">
      <c r="A5" s="32" t="s">
        <v>172</v>
      </c>
      <c r="B5" s="93" t="s">
        <v>103</v>
      </c>
      <c r="C5" s="7">
        <v>500</v>
      </c>
    </row>
    <row r="6" spans="1:3" ht="15" thickBot="1" x14ac:dyDescent="0.25">
      <c r="A6" s="32" t="s">
        <v>173</v>
      </c>
      <c r="B6" s="38" t="s">
        <v>115</v>
      </c>
      <c r="C6" s="83">
        <v>240</v>
      </c>
    </row>
    <row r="7" spans="1:3" x14ac:dyDescent="0.2">
      <c r="A7" s="31" t="s">
        <v>174</v>
      </c>
      <c r="B7" s="95" t="s">
        <v>115</v>
      </c>
      <c r="C7" s="17">
        <v>600</v>
      </c>
    </row>
  </sheetData>
  <hyperlinks>
    <hyperlink ref="A1" location="Index!A1" display="Back to Index tab"/>
  </hyperlink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heetViews>
  <sheetFormatPr defaultRowHeight="14.25" x14ac:dyDescent="0.2"/>
  <cols>
    <col min="1" max="1" width="25" style="5" customWidth="1"/>
    <col min="2" max="2" width="10.125" style="5" bestFit="1" customWidth="1"/>
    <col min="3" max="3" width="12.25" style="5" bestFit="1" customWidth="1"/>
    <col min="4" max="4" width="12.375" style="5" bestFit="1" customWidth="1"/>
    <col min="5" max="5" width="20.5" style="5" bestFit="1" customWidth="1"/>
    <col min="6" max="16384" width="9" style="5"/>
  </cols>
  <sheetData>
    <row r="1" spans="1:5" x14ac:dyDescent="0.2">
      <c r="A1" s="101" t="s">
        <v>487</v>
      </c>
    </row>
    <row r="3" spans="1:5" x14ac:dyDescent="0.2">
      <c r="A3" s="1" t="s">
        <v>456</v>
      </c>
    </row>
    <row r="4" spans="1:5" ht="15" thickBot="1" x14ac:dyDescent="0.25">
      <c r="A4" s="34" t="s">
        <v>175</v>
      </c>
      <c r="B4" s="34" t="s">
        <v>176</v>
      </c>
      <c r="C4" s="34" t="s">
        <v>177</v>
      </c>
      <c r="D4" s="34" t="s">
        <v>14</v>
      </c>
      <c r="E4" s="35" t="s">
        <v>178</v>
      </c>
    </row>
    <row r="5" spans="1:5" x14ac:dyDescent="0.2">
      <c r="A5" s="189" t="s">
        <v>179</v>
      </c>
      <c r="B5" s="216">
        <v>300</v>
      </c>
      <c r="C5" s="218" t="s">
        <v>180</v>
      </c>
      <c r="D5" s="218" t="s">
        <v>181</v>
      </c>
      <c r="E5" s="26" t="s">
        <v>182</v>
      </c>
    </row>
    <row r="6" spans="1:5" ht="15" thickBot="1" x14ac:dyDescent="0.25">
      <c r="A6" s="191"/>
      <c r="B6" s="217"/>
      <c r="C6" s="219"/>
      <c r="D6" s="219"/>
      <c r="E6" s="27" t="s">
        <v>183</v>
      </c>
    </row>
    <row r="7" spans="1:5" ht="23.25" thickBot="1" x14ac:dyDescent="0.25">
      <c r="A7" s="32" t="s">
        <v>184</v>
      </c>
      <c r="B7" s="22">
        <v>20000</v>
      </c>
      <c r="C7" s="38" t="s">
        <v>185</v>
      </c>
      <c r="D7" s="38" t="s">
        <v>186</v>
      </c>
      <c r="E7" s="29" t="s">
        <v>187</v>
      </c>
    </row>
    <row r="8" spans="1:5" ht="22.5" x14ac:dyDescent="0.2">
      <c r="A8" s="31" t="s">
        <v>188</v>
      </c>
      <c r="B8" s="16">
        <v>100000</v>
      </c>
      <c r="C8" s="95" t="s">
        <v>185</v>
      </c>
      <c r="D8" s="95" t="s">
        <v>186</v>
      </c>
      <c r="E8" s="26" t="s">
        <v>187</v>
      </c>
    </row>
  </sheetData>
  <mergeCells count="4">
    <mergeCell ref="A5:A6"/>
    <mergeCell ref="B5:B6"/>
    <mergeCell ref="C5:C6"/>
    <mergeCell ref="D5:D6"/>
  </mergeCells>
  <hyperlinks>
    <hyperlink ref="A1" location="Index!A1" display="Back to Index tab"/>
  </hyperlink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4.25" x14ac:dyDescent="0.2"/>
  <cols>
    <col min="1" max="1" width="16.125" style="5" customWidth="1"/>
    <col min="2" max="2" width="41.875" style="5" customWidth="1"/>
    <col min="3" max="16384" width="9" style="5"/>
  </cols>
  <sheetData>
    <row r="1" spans="1:2" x14ac:dyDescent="0.2">
      <c r="A1" s="101" t="s">
        <v>487</v>
      </c>
    </row>
    <row r="3" spans="1:2" x14ac:dyDescent="0.2">
      <c r="A3" s="1" t="s">
        <v>457</v>
      </c>
    </row>
    <row r="4" spans="1:2" ht="15" thickBot="1" x14ac:dyDescent="0.25">
      <c r="A4" s="34" t="s">
        <v>189</v>
      </c>
      <c r="B4" s="35" t="s">
        <v>28</v>
      </c>
    </row>
    <row r="5" spans="1:2" ht="34.5" thickBot="1" x14ac:dyDescent="0.25">
      <c r="A5" s="32" t="s">
        <v>190</v>
      </c>
      <c r="B5" s="27" t="s">
        <v>191</v>
      </c>
    </row>
    <row r="6" spans="1:2" ht="56.25" x14ac:dyDescent="0.2">
      <c r="A6" s="31" t="s">
        <v>192</v>
      </c>
      <c r="B6" s="28" t="s">
        <v>193</v>
      </c>
    </row>
  </sheetData>
  <hyperlinks>
    <hyperlink ref="A1" location="Index!A1" display="Back to Index tab"/>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ustomHeight="1" x14ac:dyDescent="0.2"/>
  <cols>
    <col min="1" max="1" width="17.75" style="5" customWidth="1"/>
    <col min="2" max="2" width="11.375" style="5" bestFit="1" customWidth="1"/>
    <col min="3" max="3" width="13.625" style="5" bestFit="1" customWidth="1"/>
    <col min="4" max="16384" width="9" style="5"/>
  </cols>
  <sheetData>
    <row r="1" spans="1:3" ht="15" customHeight="1" x14ac:dyDescent="0.2">
      <c r="A1" s="101" t="s">
        <v>487</v>
      </c>
    </row>
    <row r="3" spans="1:3" ht="15" customHeight="1" x14ac:dyDescent="0.2">
      <c r="A3" s="1" t="s">
        <v>396</v>
      </c>
    </row>
    <row r="4" spans="1:3" ht="30" customHeight="1" thickBot="1" x14ac:dyDescent="0.25">
      <c r="A4" s="34" t="s">
        <v>27</v>
      </c>
      <c r="B4" s="34" t="s">
        <v>250</v>
      </c>
      <c r="C4" s="35" t="s">
        <v>394</v>
      </c>
    </row>
    <row r="5" spans="1:3" ht="15" customHeight="1" thickBot="1" x14ac:dyDescent="0.25">
      <c r="A5" s="32" t="s">
        <v>261</v>
      </c>
      <c r="B5" s="8">
        <v>83</v>
      </c>
      <c r="C5" s="7">
        <v>83</v>
      </c>
    </row>
    <row r="6" spans="1:3" ht="15" customHeight="1" thickBot="1" x14ac:dyDescent="0.25">
      <c r="A6" s="153" t="s">
        <v>395</v>
      </c>
      <c r="B6" s="82">
        <v>85</v>
      </c>
      <c r="C6" s="83">
        <v>42</v>
      </c>
    </row>
    <row r="7" spans="1:3" ht="15" customHeight="1" thickBot="1" x14ac:dyDescent="0.25">
      <c r="A7" s="153" t="s">
        <v>254</v>
      </c>
      <c r="B7" s="8">
        <v>96</v>
      </c>
      <c r="C7" s="7">
        <v>22</v>
      </c>
    </row>
    <row r="8" spans="1:3" ht="15" customHeight="1" thickBot="1" x14ac:dyDescent="0.25">
      <c r="A8" s="153" t="s">
        <v>255</v>
      </c>
      <c r="B8" s="82">
        <v>90</v>
      </c>
      <c r="C8" s="83">
        <v>28</v>
      </c>
    </row>
    <row r="9" spans="1:3" ht="15" customHeight="1" thickBot="1" x14ac:dyDescent="0.25">
      <c r="A9" s="153" t="s">
        <v>256</v>
      </c>
      <c r="B9" s="8">
        <v>98</v>
      </c>
      <c r="C9" s="7">
        <v>32</v>
      </c>
    </row>
    <row r="10" spans="1:3" ht="15" customHeight="1" thickBot="1" x14ac:dyDescent="0.25">
      <c r="A10" s="32" t="s">
        <v>260</v>
      </c>
      <c r="B10" s="82">
        <v>218</v>
      </c>
      <c r="C10" s="83">
        <v>10</v>
      </c>
    </row>
    <row r="11" spans="1:3" s="103" customFormat="1" ht="15" customHeight="1" x14ac:dyDescent="0.2"/>
  </sheetData>
  <hyperlinks>
    <hyperlink ref="A1" location="Index!A1" display="Back to Index tab"/>
  </hyperlink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4.25" x14ac:dyDescent="0.2"/>
  <cols>
    <col min="1" max="1" width="34.75" style="5" customWidth="1"/>
    <col min="2" max="7" width="10.625" style="5" customWidth="1"/>
    <col min="8" max="16384" width="9" style="5"/>
  </cols>
  <sheetData>
    <row r="1" spans="1:7" x14ac:dyDescent="0.2">
      <c r="A1" s="101" t="s">
        <v>487</v>
      </c>
    </row>
    <row r="3" spans="1:7" x14ac:dyDescent="0.2">
      <c r="A3" s="1" t="s">
        <v>458</v>
      </c>
    </row>
    <row r="4" spans="1:7" ht="15" thickBot="1" x14ac:dyDescent="0.25">
      <c r="A4" s="34"/>
      <c r="B4" s="34" t="s">
        <v>103</v>
      </c>
      <c r="C4" s="34" t="s">
        <v>194</v>
      </c>
      <c r="D4" s="34" t="s">
        <v>24</v>
      </c>
      <c r="E4" s="34" t="s">
        <v>107</v>
      </c>
      <c r="F4" s="34" t="s">
        <v>195</v>
      </c>
      <c r="G4" s="35" t="s">
        <v>196</v>
      </c>
    </row>
    <row r="5" spans="1:7" ht="15" thickBot="1" x14ac:dyDescent="0.25">
      <c r="A5" s="32" t="s">
        <v>197</v>
      </c>
      <c r="B5" s="8">
        <v>90</v>
      </c>
      <c r="C5" s="8">
        <v>170</v>
      </c>
      <c r="D5" s="8">
        <v>171</v>
      </c>
      <c r="E5" s="8">
        <v>268</v>
      </c>
      <c r="F5" s="8">
        <v>13</v>
      </c>
      <c r="G5" s="7">
        <v>712</v>
      </c>
    </row>
    <row r="6" spans="1:7" x14ac:dyDescent="0.2">
      <c r="A6" s="31" t="s">
        <v>198</v>
      </c>
      <c r="B6" s="140">
        <v>204</v>
      </c>
      <c r="C6" s="140">
        <v>296</v>
      </c>
      <c r="D6" s="140">
        <v>376</v>
      </c>
      <c r="E6" s="140">
        <v>306</v>
      </c>
      <c r="F6" s="140">
        <v>15</v>
      </c>
      <c r="G6" s="141">
        <v>1197</v>
      </c>
    </row>
  </sheetData>
  <hyperlinks>
    <hyperlink ref="A1" location="Index!A1" display="Back to Index tab"/>
  </hyperlinks>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ustomHeight="1" x14ac:dyDescent="0.2"/>
  <cols>
    <col min="1" max="1" width="26.125" style="5" customWidth="1"/>
    <col min="2" max="6" width="15.625" style="5" customWidth="1"/>
    <col min="7" max="16384" width="9" style="5"/>
  </cols>
  <sheetData>
    <row r="1" spans="1:6" ht="15" customHeight="1" x14ac:dyDescent="0.2">
      <c r="A1" s="101" t="s">
        <v>487</v>
      </c>
    </row>
    <row r="3" spans="1:6" ht="15" customHeight="1" x14ac:dyDescent="0.2">
      <c r="A3" s="1" t="s">
        <v>459</v>
      </c>
    </row>
    <row r="4" spans="1:6" ht="15" customHeight="1" thickBot="1" x14ac:dyDescent="0.25">
      <c r="A4" s="34" t="s">
        <v>199</v>
      </c>
      <c r="B4" s="34" t="s">
        <v>200</v>
      </c>
      <c r="C4" s="34" t="s">
        <v>201</v>
      </c>
      <c r="D4" s="34" t="s">
        <v>202</v>
      </c>
      <c r="E4" s="34" t="s">
        <v>19</v>
      </c>
      <c r="F4" s="35" t="s">
        <v>203</v>
      </c>
    </row>
    <row r="5" spans="1:6" ht="15" customHeight="1" thickBot="1" x14ac:dyDescent="0.25">
      <c r="A5" s="32" t="s">
        <v>204</v>
      </c>
      <c r="B5" s="8" t="s">
        <v>205</v>
      </c>
      <c r="C5" s="8" t="s">
        <v>206</v>
      </c>
      <c r="D5" s="8" t="s">
        <v>207</v>
      </c>
      <c r="E5" s="8" t="s">
        <v>208</v>
      </c>
      <c r="F5" s="7" t="s">
        <v>209</v>
      </c>
    </row>
    <row r="6" spans="1:6" ht="15" customHeight="1" thickBot="1" x14ac:dyDescent="0.25">
      <c r="A6" s="32" t="s">
        <v>210</v>
      </c>
      <c r="B6" s="82" t="s">
        <v>211</v>
      </c>
      <c r="C6" s="82" t="s">
        <v>212</v>
      </c>
      <c r="D6" s="82" t="s">
        <v>213</v>
      </c>
      <c r="E6" s="82" t="s">
        <v>214</v>
      </c>
      <c r="F6" s="83" t="s">
        <v>215</v>
      </c>
    </row>
    <row r="7" spans="1:6" ht="15" customHeight="1" thickBot="1" x14ac:dyDescent="0.25">
      <c r="A7" s="32" t="s">
        <v>216</v>
      </c>
      <c r="B7" s="8" t="s">
        <v>217</v>
      </c>
      <c r="C7" s="8" t="s">
        <v>218</v>
      </c>
      <c r="D7" s="8" t="s">
        <v>219</v>
      </c>
      <c r="E7" s="8" t="s">
        <v>220</v>
      </c>
      <c r="F7" s="7" t="s">
        <v>221</v>
      </c>
    </row>
    <row r="8" spans="1:6" ht="30" customHeight="1" thickBot="1" x14ac:dyDescent="0.25">
      <c r="A8" s="189" t="s">
        <v>222</v>
      </c>
      <c r="B8" s="220" t="s">
        <v>223</v>
      </c>
      <c r="C8" s="221"/>
      <c r="D8" s="38"/>
      <c r="E8" s="38"/>
      <c r="F8" s="29"/>
    </row>
    <row r="9" spans="1:6" ht="30" customHeight="1" thickBot="1" x14ac:dyDescent="0.25">
      <c r="A9" s="190"/>
      <c r="B9" s="222" t="s">
        <v>224</v>
      </c>
      <c r="C9" s="223"/>
      <c r="D9" s="93"/>
      <c r="E9" s="93"/>
      <c r="F9" s="27"/>
    </row>
    <row r="10" spans="1:6" ht="15" customHeight="1" thickBot="1" x14ac:dyDescent="0.25">
      <c r="A10" s="190"/>
      <c r="B10" s="38"/>
      <c r="C10" s="220" t="s">
        <v>225</v>
      </c>
      <c r="D10" s="221"/>
      <c r="E10" s="38"/>
      <c r="F10" s="29"/>
    </row>
    <row r="11" spans="1:6" ht="30" customHeight="1" thickBot="1" x14ac:dyDescent="0.25">
      <c r="A11" s="190"/>
      <c r="B11" s="93"/>
      <c r="C11" s="93"/>
      <c r="D11" s="222" t="s">
        <v>226</v>
      </c>
      <c r="E11" s="223"/>
      <c r="F11" s="27"/>
    </row>
    <row r="12" spans="1:6" ht="15" customHeight="1" thickBot="1" x14ac:dyDescent="0.25">
      <c r="A12" s="190"/>
      <c r="B12" s="38"/>
      <c r="C12" s="38"/>
      <c r="D12" s="220" t="s">
        <v>227</v>
      </c>
      <c r="E12" s="221"/>
      <c r="F12" s="29"/>
    </row>
    <row r="13" spans="1:6" ht="30" customHeight="1" thickBot="1" x14ac:dyDescent="0.25">
      <c r="A13" s="190"/>
      <c r="B13" s="95"/>
      <c r="C13" s="95"/>
      <c r="D13" s="93" t="s">
        <v>228</v>
      </c>
      <c r="E13" s="93"/>
      <c r="F13" s="93" t="s">
        <v>228</v>
      </c>
    </row>
  </sheetData>
  <mergeCells count="6">
    <mergeCell ref="A8:A13"/>
    <mergeCell ref="B8:C8"/>
    <mergeCell ref="B9:C9"/>
    <mergeCell ref="C10:D10"/>
    <mergeCell ref="D11:E11"/>
    <mergeCell ref="D12:E12"/>
  </mergeCells>
  <hyperlinks>
    <hyperlink ref="A1" location="Index!A1" display="Back to Index tab"/>
  </hyperlink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
  <cols>
    <col min="1" max="1" width="36.375" style="126" customWidth="1"/>
    <col min="2" max="5" width="15.625" style="36" customWidth="1"/>
    <col min="6" max="7" width="13" style="37" customWidth="1"/>
    <col min="8" max="8" width="21.625" style="37" bestFit="1" customWidth="1"/>
    <col min="9" max="16384" width="9" style="37"/>
  </cols>
  <sheetData>
    <row r="1" spans="1:7" ht="14.25" x14ac:dyDescent="0.2">
      <c r="A1" s="101" t="s">
        <v>487</v>
      </c>
    </row>
    <row r="3" spans="1:7" ht="14.25" x14ac:dyDescent="0.2">
      <c r="A3" s="1" t="s">
        <v>460</v>
      </c>
      <c r="B3" s="1"/>
      <c r="C3" s="1"/>
      <c r="D3" s="1"/>
      <c r="E3" s="1"/>
      <c r="F3" s="1"/>
      <c r="G3" s="1"/>
    </row>
    <row r="4" spans="1:7" ht="14.25" x14ac:dyDescent="0.2">
      <c r="A4" s="192" t="s">
        <v>229</v>
      </c>
      <c r="B4" s="224" t="s">
        <v>523</v>
      </c>
      <c r="C4" s="225"/>
      <c r="D4" s="192"/>
      <c r="E4" s="224" t="s">
        <v>231</v>
      </c>
    </row>
    <row r="5" spans="1:7" thickBot="1" x14ac:dyDescent="0.25">
      <c r="A5" s="192"/>
      <c r="B5" s="196" t="s">
        <v>230</v>
      </c>
      <c r="C5" s="197"/>
      <c r="D5" s="193"/>
      <c r="E5" s="224"/>
    </row>
    <row r="6" spans="1:7" ht="34.5" thickBot="1" x14ac:dyDescent="0.25">
      <c r="A6" s="193"/>
      <c r="B6" s="34" t="s">
        <v>232</v>
      </c>
      <c r="C6" s="34" t="s">
        <v>524</v>
      </c>
      <c r="D6" s="34" t="s">
        <v>525</v>
      </c>
      <c r="E6" s="196"/>
    </row>
    <row r="7" spans="1:7" ht="30" customHeight="1" thickBot="1" x14ac:dyDescent="0.25">
      <c r="A7" s="131" t="s">
        <v>233</v>
      </c>
      <c r="B7" s="173" t="s">
        <v>234</v>
      </c>
      <c r="C7" s="92"/>
      <c r="D7" s="173" t="s">
        <v>234</v>
      </c>
      <c r="E7" s="174" t="s">
        <v>234</v>
      </c>
    </row>
    <row r="8" spans="1:7" ht="30" customHeight="1" thickBot="1" x14ac:dyDescent="0.25">
      <c r="A8" s="131" t="s">
        <v>235</v>
      </c>
      <c r="B8" s="173" t="s">
        <v>234</v>
      </c>
      <c r="C8" s="92"/>
      <c r="D8" s="173" t="s">
        <v>234</v>
      </c>
      <c r="E8" s="174" t="s">
        <v>234</v>
      </c>
    </row>
    <row r="9" spans="1:7" ht="30" customHeight="1" thickBot="1" x14ac:dyDescent="0.25">
      <c r="A9" s="131" t="s">
        <v>236</v>
      </c>
      <c r="B9" s="173" t="s">
        <v>234</v>
      </c>
      <c r="C9" s="174" t="s">
        <v>234</v>
      </c>
      <c r="D9" s="173"/>
      <c r="E9" s="175" t="s">
        <v>237</v>
      </c>
    </row>
    <row r="10" spans="1:7" ht="15" customHeight="1" thickBot="1" x14ac:dyDescent="0.25">
      <c r="A10" s="131" t="s">
        <v>238</v>
      </c>
      <c r="B10" s="173" t="s">
        <v>234</v>
      </c>
      <c r="C10" s="174" t="s">
        <v>234</v>
      </c>
      <c r="D10" s="173"/>
      <c r="E10" s="175" t="s">
        <v>237</v>
      </c>
    </row>
    <row r="11" spans="1:7" ht="30" customHeight="1" thickBot="1" x14ac:dyDescent="0.25">
      <c r="A11" s="131" t="s">
        <v>418</v>
      </c>
      <c r="B11" s="173" t="s">
        <v>234</v>
      </c>
      <c r="C11" s="174" t="s">
        <v>234</v>
      </c>
      <c r="D11" s="173"/>
      <c r="E11" s="175" t="s">
        <v>237</v>
      </c>
    </row>
    <row r="12" spans="1:7" ht="30" customHeight="1" thickBot="1" x14ac:dyDescent="0.25">
      <c r="A12" s="131" t="s">
        <v>419</v>
      </c>
      <c r="B12" s="173" t="s">
        <v>234</v>
      </c>
      <c r="C12" s="174" t="s">
        <v>234</v>
      </c>
      <c r="D12" s="173"/>
      <c r="E12" s="174"/>
    </row>
    <row r="13" spans="1:7" ht="30" customHeight="1" thickBot="1" x14ac:dyDescent="0.25">
      <c r="A13" s="131" t="s">
        <v>420</v>
      </c>
      <c r="B13" s="173"/>
      <c r="C13" s="92"/>
      <c r="D13" s="173"/>
      <c r="E13" s="174" t="s">
        <v>234</v>
      </c>
    </row>
    <row r="14" spans="1:7" ht="15" customHeight="1" thickBot="1" x14ac:dyDescent="0.25">
      <c r="A14" s="131" t="s">
        <v>239</v>
      </c>
      <c r="B14" s="93" t="s">
        <v>237</v>
      </c>
      <c r="C14" s="92" t="s">
        <v>237</v>
      </c>
      <c r="D14" s="93" t="s">
        <v>237</v>
      </c>
      <c r="E14" s="174"/>
    </row>
    <row r="15" spans="1:7" ht="15" customHeight="1" thickBot="1" x14ac:dyDescent="0.25">
      <c r="A15" s="131" t="s">
        <v>240</v>
      </c>
      <c r="B15" s="93" t="s">
        <v>237</v>
      </c>
      <c r="C15" s="92"/>
      <c r="D15" s="93" t="s">
        <v>237</v>
      </c>
      <c r="E15" s="174"/>
    </row>
    <row r="16" spans="1:7" ht="15" customHeight="1" thickBot="1" x14ac:dyDescent="0.25">
      <c r="A16" s="131" t="s">
        <v>241</v>
      </c>
      <c r="B16" s="93" t="s">
        <v>243</v>
      </c>
      <c r="C16" s="92"/>
      <c r="D16" s="173"/>
      <c r="E16" s="174"/>
    </row>
    <row r="17" spans="1:5" ht="15" customHeight="1" thickBot="1" x14ac:dyDescent="0.25">
      <c r="A17" s="131" t="s">
        <v>242</v>
      </c>
      <c r="B17" s="93"/>
      <c r="C17" s="92"/>
      <c r="D17" s="93"/>
      <c r="E17" s="174"/>
    </row>
    <row r="18" spans="1:5" ht="15" customHeight="1" thickBot="1" x14ac:dyDescent="0.25">
      <c r="A18" s="131" t="s">
        <v>244</v>
      </c>
      <c r="B18" s="93" t="s">
        <v>243</v>
      </c>
      <c r="C18" s="92" t="s">
        <v>243</v>
      </c>
      <c r="D18" s="93" t="s">
        <v>243</v>
      </c>
      <c r="E18" s="174"/>
    </row>
    <row r="19" spans="1:5" ht="15" customHeight="1" thickBot="1" x14ac:dyDescent="0.25">
      <c r="A19" s="131" t="s">
        <v>245</v>
      </c>
      <c r="B19" s="93"/>
      <c r="C19" s="92" t="s">
        <v>243</v>
      </c>
      <c r="D19" s="93"/>
      <c r="E19" s="174"/>
    </row>
    <row r="20" spans="1:5" ht="15" customHeight="1" thickBot="1" x14ac:dyDescent="0.25">
      <c r="A20" s="131" t="s">
        <v>246</v>
      </c>
      <c r="B20" s="93" t="s">
        <v>243</v>
      </c>
      <c r="C20" s="92" t="s">
        <v>243</v>
      </c>
      <c r="D20" s="93" t="s">
        <v>243</v>
      </c>
      <c r="E20" s="174"/>
    </row>
    <row r="21" spans="1:5" ht="15" customHeight="1" thickBot="1" x14ac:dyDescent="0.25">
      <c r="A21" s="131" t="s">
        <v>247</v>
      </c>
      <c r="B21" s="93"/>
      <c r="C21" s="92" t="s">
        <v>243</v>
      </c>
      <c r="D21" s="93"/>
      <c r="E21" s="174"/>
    </row>
    <row r="22" spans="1:5" ht="15" customHeight="1" thickBot="1" x14ac:dyDescent="0.25">
      <c r="A22" s="131" t="s">
        <v>248</v>
      </c>
      <c r="B22" s="93"/>
      <c r="C22" s="92" t="s">
        <v>243</v>
      </c>
      <c r="D22" s="93"/>
      <c r="E22" s="174"/>
    </row>
    <row r="23" spans="1:5" ht="14.25" x14ac:dyDescent="0.2">
      <c r="A23" s="156" t="s">
        <v>526</v>
      </c>
    </row>
  </sheetData>
  <mergeCells count="4">
    <mergeCell ref="A4:A6"/>
    <mergeCell ref="B4:D4"/>
    <mergeCell ref="B5:D5"/>
    <mergeCell ref="E4:E6"/>
  </mergeCells>
  <hyperlinks>
    <hyperlink ref="A1" location="Index!A1" display="Back to Index tab"/>
  </hyperlink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
  <cols>
    <col min="1" max="1" width="25.625" style="126" customWidth="1"/>
    <col min="2" max="5" width="15.625" style="36" customWidth="1"/>
    <col min="6" max="7" width="15.625" style="37" customWidth="1"/>
    <col min="8" max="8" width="21.625" style="37" bestFit="1" customWidth="1"/>
    <col min="9" max="16384" width="9" style="37"/>
  </cols>
  <sheetData>
    <row r="1" spans="1:7" ht="14.25" x14ac:dyDescent="0.2">
      <c r="A1" s="101" t="s">
        <v>487</v>
      </c>
    </row>
    <row r="3" spans="1:7" ht="14.25" x14ac:dyDescent="0.2">
      <c r="A3" s="1" t="s">
        <v>462</v>
      </c>
      <c r="B3" s="1"/>
      <c r="C3" s="1"/>
      <c r="D3" s="1"/>
      <c r="E3" s="1"/>
      <c r="F3" s="1"/>
      <c r="G3" s="1"/>
    </row>
    <row r="4" spans="1:7" thickBot="1" x14ac:dyDescent="0.25">
      <c r="A4" s="192" t="s">
        <v>27</v>
      </c>
      <c r="B4" s="194" t="s">
        <v>20</v>
      </c>
      <c r="C4" s="194" t="s">
        <v>421</v>
      </c>
      <c r="D4" s="196">
        <v>2015</v>
      </c>
      <c r="E4" s="193"/>
      <c r="F4" s="196">
        <v>2017</v>
      </c>
      <c r="G4" s="197"/>
    </row>
    <row r="5" spans="1:7" ht="23.25" thickBot="1" x14ac:dyDescent="0.25">
      <c r="A5" s="193"/>
      <c r="B5" s="195"/>
      <c r="C5" s="195"/>
      <c r="D5" s="34" t="s">
        <v>422</v>
      </c>
      <c r="E5" s="34" t="s">
        <v>250</v>
      </c>
      <c r="F5" s="34" t="s">
        <v>422</v>
      </c>
      <c r="G5" s="35" t="s">
        <v>250</v>
      </c>
    </row>
    <row r="6" spans="1:7" thickBot="1" x14ac:dyDescent="0.25">
      <c r="A6" s="32" t="s">
        <v>251</v>
      </c>
      <c r="B6" s="87" t="s">
        <v>1</v>
      </c>
      <c r="C6" s="70">
        <v>42</v>
      </c>
      <c r="D6" s="70" t="s">
        <v>252</v>
      </c>
      <c r="E6" s="176">
        <f>107/105.1*99</f>
        <v>100.7897240723121</v>
      </c>
      <c r="F6" s="70" t="s">
        <v>252</v>
      </c>
      <c r="G6" s="71">
        <v>85</v>
      </c>
    </row>
    <row r="7" spans="1:7" thickBot="1" x14ac:dyDescent="0.25">
      <c r="A7" s="32" t="s">
        <v>255</v>
      </c>
      <c r="B7" s="88" t="s">
        <v>6</v>
      </c>
      <c r="C7" s="73">
        <v>28</v>
      </c>
      <c r="D7" s="73" t="s">
        <v>252</v>
      </c>
      <c r="E7" s="84">
        <f>107/105.1*183</f>
        <v>186.30827783063751</v>
      </c>
      <c r="F7" s="73" t="s">
        <v>252</v>
      </c>
      <c r="G7" s="7">
        <v>90</v>
      </c>
    </row>
    <row r="8" spans="1:7" thickBot="1" x14ac:dyDescent="0.25">
      <c r="A8" s="32" t="s">
        <v>254</v>
      </c>
      <c r="B8" s="87" t="s">
        <v>6</v>
      </c>
      <c r="C8" s="70">
        <v>22</v>
      </c>
      <c r="D8" s="70" t="s">
        <v>252</v>
      </c>
      <c r="E8" s="176">
        <f>107/105.1*149</f>
        <v>151.69362511893436</v>
      </c>
      <c r="F8" s="70" t="s">
        <v>252</v>
      </c>
      <c r="G8" s="83">
        <v>96</v>
      </c>
    </row>
    <row r="9" spans="1:7" thickBot="1" x14ac:dyDescent="0.25">
      <c r="A9" s="32" t="s">
        <v>256</v>
      </c>
      <c r="B9" s="88" t="s">
        <v>6</v>
      </c>
      <c r="C9" s="73">
        <v>32</v>
      </c>
      <c r="D9" s="73" t="s">
        <v>252</v>
      </c>
      <c r="E9" s="84">
        <f>107/105.1*240</f>
        <v>244.33872502378688</v>
      </c>
      <c r="F9" s="73" t="s">
        <v>252</v>
      </c>
      <c r="G9" s="7">
        <v>98</v>
      </c>
    </row>
    <row r="10" spans="1:7" thickBot="1" x14ac:dyDescent="0.25">
      <c r="A10" s="32" t="s">
        <v>253</v>
      </c>
      <c r="B10" s="87" t="s">
        <v>5</v>
      </c>
      <c r="C10" s="70">
        <v>70</v>
      </c>
      <c r="D10" s="70">
        <v>23</v>
      </c>
      <c r="E10" s="176">
        <f>107/105.1*119</f>
        <v>121.151284490961</v>
      </c>
      <c r="F10" s="70">
        <v>23</v>
      </c>
      <c r="G10" s="71">
        <v>120</v>
      </c>
    </row>
    <row r="11" spans="1:7" thickBot="1" x14ac:dyDescent="0.25">
      <c r="A11" s="32" t="s">
        <v>257</v>
      </c>
      <c r="B11" s="88" t="s">
        <v>6</v>
      </c>
      <c r="C11" s="73">
        <v>52</v>
      </c>
      <c r="D11" s="73" t="s">
        <v>252</v>
      </c>
      <c r="E11" s="84">
        <f>107/105.1*218</f>
        <v>221.9410085632731</v>
      </c>
      <c r="F11" s="73" t="s">
        <v>252</v>
      </c>
      <c r="G11" s="7">
        <v>137</v>
      </c>
    </row>
    <row r="12" spans="1:7" thickBot="1" x14ac:dyDescent="0.25">
      <c r="A12" s="32" t="s">
        <v>258</v>
      </c>
      <c r="B12" s="87" t="s">
        <v>6</v>
      </c>
      <c r="C12" s="70">
        <v>23</v>
      </c>
      <c r="D12" s="70" t="s">
        <v>252</v>
      </c>
      <c r="E12" s="176">
        <f>107/105.1*284</f>
        <v>289.13415794481449</v>
      </c>
      <c r="F12" s="76"/>
      <c r="G12" s="77" t="s">
        <v>461</v>
      </c>
    </row>
    <row r="13" spans="1:7" ht="14.25" x14ac:dyDescent="0.2">
      <c r="A13" s="31" t="s">
        <v>259</v>
      </c>
      <c r="B13" s="89" t="s">
        <v>6</v>
      </c>
      <c r="C13" s="85">
        <v>42</v>
      </c>
      <c r="D13" s="85" t="s">
        <v>252</v>
      </c>
      <c r="E13" s="177">
        <f>107/105.1*294</f>
        <v>299.31493815413893</v>
      </c>
      <c r="F13" s="90"/>
      <c r="G13" s="91" t="s">
        <v>461</v>
      </c>
    </row>
    <row r="14" spans="1:7" ht="14.25" x14ac:dyDescent="0.2">
      <c r="A14" s="130" t="s">
        <v>527</v>
      </c>
    </row>
  </sheetData>
  <mergeCells count="5">
    <mergeCell ref="A4:A5"/>
    <mergeCell ref="B4:B5"/>
    <mergeCell ref="C4:C5"/>
    <mergeCell ref="D4:E4"/>
    <mergeCell ref="F4:G4"/>
  </mergeCells>
  <hyperlinks>
    <hyperlink ref="A1" location="Index!A1" display="Back to Index tab"/>
  </hyperlink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
  <cols>
    <col min="1" max="1" width="25.25" style="126" customWidth="1"/>
    <col min="2" max="5" width="15.625" style="36" customWidth="1"/>
    <col min="6" max="9" width="15.625" style="37" customWidth="1"/>
    <col min="10" max="16384" width="9" style="37"/>
  </cols>
  <sheetData>
    <row r="1" spans="1:9" ht="14.25" x14ac:dyDescent="0.2">
      <c r="A1" s="101" t="s">
        <v>487</v>
      </c>
    </row>
    <row r="3" spans="1:9" ht="14.25" x14ac:dyDescent="0.2">
      <c r="A3" s="1" t="s">
        <v>463</v>
      </c>
      <c r="B3" s="1"/>
      <c r="C3" s="1"/>
      <c r="D3" s="1"/>
      <c r="E3" s="1"/>
      <c r="F3" s="1"/>
      <c r="G3" s="1"/>
    </row>
    <row r="4" spans="1:9" thickBot="1" x14ac:dyDescent="0.25">
      <c r="A4" s="192" t="s">
        <v>27</v>
      </c>
      <c r="B4" s="194" t="s">
        <v>20</v>
      </c>
      <c r="C4" s="194" t="s">
        <v>423</v>
      </c>
      <c r="D4" s="194" t="s">
        <v>424</v>
      </c>
      <c r="E4" s="194" t="s">
        <v>57</v>
      </c>
      <c r="F4" s="196">
        <v>2015</v>
      </c>
      <c r="G4" s="193"/>
      <c r="H4" s="196">
        <v>2017</v>
      </c>
      <c r="I4" s="197"/>
    </row>
    <row r="5" spans="1:9" ht="23.25" thickBot="1" x14ac:dyDescent="0.25">
      <c r="A5" s="193"/>
      <c r="B5" s="195"/>
      <c r="C5" s="195"/>
      <c r="D5" s="195"/>
      <c r="E5" s="195"/>
      <c r="F5" s="34" t="s">
        <v>422</v>
      </c>
      <c r="G5" s="34" t="s">
        <v>250</v>
      </c>
      <c r="H5" s="34" t="s">
        <v>422</v>
      </c>
      <c r="I5" s="35" t="s">
        <v>250</v>
      </c>
    </row>
    <row r="6" spans="1:9" thickBot="1" x14ac:dyDescent="0.25">
      <c r="A6" s="189" t="s">
        <v>261</v>
      </c>
      <c r="B6" s="226" t="s">
        <v>0</v>
      </c>
      <c r="C6" s="228">
        <v>8.07</v>
      </c>
      <c r="D6" s="228">
        <v>83</v>
      </c>
      <c r="E6" s="87" t="s">
        <v>24</v>
      </c>
      <c r="F6" s="70">
        <v>478</v>
      </c>
      <c r="G6" s="176">
        <f>107/105.1*82</f>
        <v>83.482397716460525</v>
      </c>
      <c r="H6" s="70">
        <v>470</v>
      </c>
      <c r="I6" s="71">
        <v>83</v>
      </c>
    </row>
    <row r="7" spans="1:9" thickBot="1" x14ac:dyDescent="0.25">
      <c r="A7" s="191"/>
      <c r="B7" s="227"/>
      <c r="C7" s="229"/>
      <c r="D7" s="229"/>
      <c r="E7" s="88" t="s">
        <v>196</v>
      </c>
      <c r="F7" s="73">
        <v>405</v>
      </c>
      <c r="G7" s="84">
        <f>107/105.1*73</f>
        <v>74.319695528068507</v>
      </c>
      <c r="H7" s="73">
        <v>444</v>
      </c>
      <c r="I7" s="74">
        <v>70</v>
      </c>
    </row>
    <row r="8" spans="1:9" thickBot="1" x14ac:dyDescent="0.25">
      <c r="A8" s="189" t="s">
        <v>263</v>
      </c>
      <c r="B8" s="226" t="s">
        <v>266</v>
      </c>
      <c r="C8" s="228">
        <v>1.32</v>
      </c>
      <c r="D8" s="228">
        <v>83</v>
      </c>
      <c r="E8" s="87" t="s">
        <v>24</v>
      </c>
      <c r="F8" s="76"/>
      <c r="G8" s="178"/>
      <c r="H8" s="76"/>
      <c r="I8" s="77"/>
    </row>
    <row r="9" spans="1:9" thickBot="1" x14ac:dyDescent="0.25">
      <c r="A9" s="191"/>
      <c r="B9" s="227"/>
      <c r="C9" s="229"/>
      <c r="D9" s="229"/>
      <c r="E9" s="88" t="s">
        <v>196</v>
      </c>
      <c r="F9" s="73">
        <v>827</v>
      </c>
      <c r="G9" s="84">
        <f>107/105.1*72</f>
        <v>73.301617507136072</v>
      </c>
      <c r="H9" s="73">
        <v>812</v>
      </c>
      <c r="I9" s="74">
        <v>81</v>
      </c>
    </row>
    <row r="10" spans="1:9" thickBot="1" x14ac:dyDescent="0.25">
      <c r="A10" s="189" t="s">
        <v>263</v>
      </c>
      <c r="B10" s="226" t="s">
        <v>264</v>
      </c>
      <c r="C10" s="228">
        <v>0.43</v>
      </c>
      <c r="D10" s="228">
        <v>83</v>
      </c>
      <c r="E10" s="87" t="s">
        <v>24</v>
      </c>
      <c r="F10" s="76"/>
      <c r="G10" s="178"/>
      <c r="H10" s="76"/>
      <c r="I10" s="77"/>
    </row>
    <row r="11" spans="1:9" thickBot="1" x14ac:dyDescent="0.25">
      <c r="A11" s="191"/>
      <c r="B11" s="227"/>
      <c r="C11" s="229"/>
      <c r="D11" s="229"/>
      <c r="E11" s="88" t="s">
        <v>196</v>
      </c>
      <c r="F11" s="84">
        <v>1213</v>
      </c>
      <c r="G11" s="84">
        <f>107/105.1*91</f>
        <v>92.645099904852529</v>
      </c>
      <c r="H11" s="84">
        <v>1193</v>
      </c>
      <c r="I11" s="74">
        <v>91</v>
      </c>
    </row>
    <row r="12" spans="1:9" thickBot="1" x14ac:dyDescent="0.25">
      <c r="A12" s="189" t="s">
        <v>262</v>
      </c>
      <c r="B12" s="226" t="s">
        <v>0</v>
      </c>
      <c r="C12" s="228">
        <v>8.07</v>
      </c>
      <c r="D12" s="228">
        <v>83</v>
      </c>
      <c r="E12" s="87" t="s">
        <v>24</v>
      </c>
      <c r="F12" s="76"/>
      <c r="G12" s="178"/>
      <c r="H12" s="70">
        <v>150</v>
      </c>
      <c r="I12" s="71">
        <v>118</v>
      </c>
    </row>
    <row r="13" spans="1:9" thickBot="1" x14ac:dyDescent="0.25">
      <c r="A13" s="191"/>
      <c r="B13" s="227"/>
      <c r="C13" s="229"/>
      <c r="D13" s="229"/>
      <c r="E13" s="88" t="s">
        <v>196</v>
      </c>
      <c r="F13" s="73">
        <v>97</v>
      </c>
      <c r="G13" s="84">
        <f>107/105.1*115</f>
        <v>117.07897240723122</v>
      </c>
      <c r="H13" s="73">
        <v>131</v>
      </c>
      <c r="I13" s="74">
        <v>116</v>
      </c>
    </row>
    <row r="14" spans="1:9" thickBot="1" x14ac:dyDescent="0.25">
      <c r="A14" s="189" t="s">
        <v>265</v>
      </c>
      <c r="B14" s="226" t="s">
        <v>266</v>
      </c>
      <c r="C14" s="228">
        <v>1.32</v>
      </c>
      <c r="D14" s="228">
        <v>83</v>
      </c>
      <c r="E14" s="87" t="s">
        <v>24</v>
      </c>
      <c r="F14" s="76"/>
      <c r="G14" s="178"/>
      <c r="H14" s="76"/>
      <c r="I14" s="77"/>
    </row>
    <row r="15" spans="1:9" thickBot="1" x14ac:dyDescent="0.25">
      <c r="A15" s="191"/>
      <c r="B15" s="227"/>
      <c r="C15" s="229"/>
      <c r="D15" s="229"/>
      <c r="E15" s="88" t="s">
        <v>196</v>
      </c>
      <c r="F15" s="73">
        <v>134</v>
      </c>
      <c r="G15" s="84">
        <f>107/105.1*140</f>
        <v>142.53092293054235</v>
      </c>
      <c r="H15" s="73">
        <v>131</v>
      </c>
      <c r="I15" s="74">
        <v>185</v>
      </c>
    </row>
    <row r="16" spans="1:9" thickBot="1" x14ac:dyDescent="0.25">
      <c r="A16" s="189" t="s">
        <v>265</v>
      </c>
      <c r="B16" s="226" t="s">
        <v>264</v>
      </c>
      <c r="C16" s="228">
        <v>0.43</v>
      </c>
      <c r="D16" s="228">
        <v>83</v>
      </c>
      <c r="E16" s="87" t="s">
        <v>24</v>
      </c>
      <c r="F16" s="76"/>
      <c r="G16" s="178"/>
      <c r="H16" s="76"/>
      <c r="I16" s="77"/>
    </row>
    <row r="17" spans="1:9" thickBot="1" x14ac:dyDescent="0.25">
      <c r="A17" s="191"/>
      <c r="B17" s="227"/>
      <c r="C17" s="229"/>
      <c r="D17" s="229"/>
      <c r="E17" s="88" t="s">
        <v>196</v>
      </c>
      <c r="F17" s="73">
        <v>175</v>
      </c>
      <c r="G17" s="84">
        <f>107/105.1*169</f>
        <v>172.05518553758327</v>
      </c>
      <c r="H17" s="73">
        <v>169</v>
      </c>
      <c r="I17" s="74">
        <v>198</v>
      </c>
    </row>
    <row r="18" spans="1:9" thickBot="1" x14ac:dyDescent="0.25">
      <c r="A18" s="189" t="s">
        <v>260</v>
      </c>
      <c r="B18" s="226" t="s">
        <v>0</v>
      </c>
      <c r="C18" s="228">
        <v>10.66</v>
      </c>
      <c r="D18" s="228">
        <v>10</v>
      </c>
      <c r="E18" s="87" t="s">
        <v>24</v>
      </c>
      <c r="F18" s="70">
        <v>699</v>
      </c>
      <c r="G18" s="176">
        <f>107/105.1*205</f>
        <v>208.70599429115131</v>
      </c>
      <c r="H18" s="70">
        <v>688</v>
      </c>
      <c r="I18" s="71">
        <v>218</v>
      </c>
    </row>
    <row r="19" spans="1:9" ht="14.25" x14ac:dyDescent="0.2">
      <c r="A19" s="190"/>
      <c r="B19" s="230"/>
      <c r="C19" s="231"/>
      <c r="D19" s="231"/>
      <c r="E19" s="89" t="s">
        <v>196</v>
      </c>
      <c r="F19" s="85">
        <v>592</v>
      </c>
      <c r="G19" s="177">
        <f>107/105.1*195</f>
        <v>198.52521408182685</v>
      </c>
      <c r="H19" s="85">
        <v>582</v>
      </c>
      <c r="I19" s="86">
        <v>198</v>
      </c>
    </row>
  </sheetData>
  <mergeCells count="35">
    <mergeCell ref="A16:A17"/>
    <mergeCell ref="B16:B17"/>
    <mergeCell ref="C16:C17"/>
    <mergeCell ref="D16:D17"/>
    <mergeCell ref="A18:A19"/>
    <mergeCell ref="B18:B19"/>
    <mergeCell ref="C18:C19"/>
    <mergeCell ref="D18:D19"/>
    <mergeCell ref="A12:A13"/>
    <mergeCell ref="B12:B13"/>
    <mergeCell ref="C12:C13"/>
    <mergeCell ref="D12:D13"/>
    <mergeCell ref="A14:A15"/>
    <mergeCell ref="B14:B15"/>
    <mergeCell ref="C14:C15"/>
    <mergeCell ref="D14:D15"/>
    <mergeCell ref="A8:A9"/>
    <mergeCell ref="B8:B9"/>
    <mergeCell ref="C8:C9"/>
    <mergeCell ref="D8:D9"/>
    <mergeCell ref="A10:A11"/>
    <mergeCell ref="B10:B11"/>
    <mergeCell ref="C10:C11"/>
    <mergeCell ref="D10:D11"/>
    <mergeCell ref="F4:G4"/>
    <mergeCell ref="H4:I4"/>
    <mergeCell ref="A6:A7"/>
    <mergeCell ref="B6:B7"/>
    <mergeCell ref="C6:C7"/>
    <mergeCell ref="D6:D7"/>
    <mergeCell ref="A4:A5"/>
    <mergeCell ref="B4:B5"/>
    <mergeCell ref="C4:C5"/>
    <mergeCell ref="D4:D5"/>
    <mergeCell ref="E4:E5"/>
  </mergeCells>
  <hyperlinks>
    <hyperlink ref="A1" location="Index!A1" display="Back to Index tab"/>
  </hyperlink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election activeCell="E6" sqref="E6"/>
    </sheetView>
  </sheetViews>
  <sheetFormatPr defaultRowHeight="15" x14ac:dyDescent="0.2"/>
  <cols>
    <col min="1" max="1" width="36.375" style="126" customWidth="1"/>
    <col min="2" max="5" width="15.625" style="36" customWidth="1"/>
    <col min="6" max="7" width="13" style="37" customWidth="1"/>
    <col min="8" max="8" width="21.625" style="37" bestFit="1" customWidth="1"/>
    <col min="9" max="16384" width="9" style="37"/>
  </cols>
  <sheetData>
    <row r="1" spans="1:7" ht="14.25" x14ac:dyDescent="0.2">
      <c r="A1" s="101" t="s">
        <v>487</v>
      </c>
    </row>
    <row r="3" spans="1:7" ht="14.25" x14ac:dyDescent="0.2">
      <c r="A3" s="1" t="s">
        <v>464</v>
      </c>
      <c r="B3" s="1"/>
      <c r="C3" s="1"/>
      <c r="D3" s="1"/>
      <c r="E3" s="1"/>
      <c r="F3" s="1"/>
      <c r="G3" s="1"/>
    </row>
    <row r="4" spans="1:7" thickBot="1" x14ac:dyDescent="0.25">
      <c r="A4" s="192" t="s">
        <v>27</v>
      </c>
      <c r="B4" s="194" t="s">
        <v>20</v>
      </c>
      <c r="C4" s="194" t="s">
        <v>425</v>
      </c>
      <c r="D4" s="196">
        <v>2015</v>
      </c>
      <c r="E4" s="197"/>
      <c r="F4" s="196">
        <v>2017</v>
      </c>
      <c r="G4" s="197"/>
    </row>
    <row r="5" spans="1:7" ht="23.25" thickBot="1" x14ac:dyDescent="0.25">
      <c r="A5" s="193"/>
      <c r="B5" s="195"/>
      <c r="C5" s="195"/>
      <c r="D5" s="128" t="s">
        <v>267</v>
      </c>
      <c r="E5" s="129" t="s">
        <v>268</v>
      </c>
      <c r="F5" s="128" t="s">
        <v>267</v>
      </c>
      <c r="G5" s="129" t="s">
        <v>268</v>
      </c>
    </row>
    <row r="6" spans="1:7" thickBot="1" x14ac:dyDescent="0.25">
      <c r="A6" s="32" t="s">
        <v>269</v>
      </c>
      <c r="B6" s="38" t="s">
        <v>1</v>
      </c>
      <c r="C6" s="82">
        <v>20</v>
      </c>
      <c r="D6" s="82" t="s">
        <v>252</v>
      </c>
      <c r="E6" s="179">
        <f>107/105.1*201</f>
        <v>204.63368220742151</v>
      </c>
      <c r="F6" s="82" t="s">
        <v>252</v>
      </c>
      <c r="G6" s="83">
        <v>161</v>
      </c>
    </row>
    <row r="7" spans="1:7" ht="14.25" x14ac:dyDescent="0.2">
      <c r="A7" s="31" t="s">
        <v>270</v>
      </c>
      <c r="B7" s="95" t="s">
        <v>271</v>
      </c>
      <c r="C7" s="11">
        <v>20</v>
      </c>
      <c r="D7" s="11" t="s">
        <v>252</v>
      </c>
      <c r="E7" s="180">
        <f>107/105.1*295</f>
        <v>300.33301617507141</v>
      </c>
      <c r="F7" s="11" t="s">
        <v>252</v>
      </c>
      <c r="G7" s="17">
        <v>216</v>
      </c>
    </row>
  </sheetData>
  <mergeCells count="5">
    <mergeCell ref="A4:A5"/>
    <mergeCell ref="B4:B5"/>
    <mergeCell ref="C4:C5"/>
    <mergeCell ref="D4:E4"/>
    <mergeCell ref="F4:G4"/>
  </mergeCells>
  <hyperlinks>
    <hyperlink ref="A1" location="Index!A1" display="Back to Index tab"/>
  </hyperlink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
  <cols>
    <col min="1" max="1" width="15.375" style="126" customWidth="1"/>
    <col min="2" max="3" width="30.625" style="36" customWidth="1"/>
    <col min="4" max="5" width="13" style="36" customWidth="1"/>
    <col min="6" max="7" width="13" style="37" customWidth="1"/>
    <col min="8" max="8" width="21.625" style="37" bestFit="1" customWidth="1"/>
    <col min="9" max="16384" width="9" style="37"/>
  </cols>
  <sheetData>
    <row r="1" spans="1:7" ht="14.25" x14ac:dyDescent="0.2">
      <c r="A1" s="101" t="s">
        <v>487</v>
      </c>
    </row>
    <row r="3" spans="1:7" ht="14.25" x14ac:dyDescent="0.2">
      <c r="A3" s="1" t="s">
        <v>469</v>
      </c>
      <c r="B3" s="1"/>
      <c r="C3" s="1"/>
      <c r="D3" s="1"/>
      <c r="E3" s="1"/>
      <c r="F3" s="1"/>
      <c r="G3" s="1"/>
    </row>
    <row r="4" spans="1:7" thickBot="1" x14ac:dyDescent="0.25">
      <c r="A4" s="192" t="s">
        <v>119</v>
      </c>
      <c r="B4" s="196" t="s">
        <v>272</v>
      </c>
      <c r="C4" s="197"/>
    </row>
    <row r="5" spans="1:7" thickBot="1" x14ac:dyDescent="0.25">
      <c r="A5" s="193"/>
      <c r="B5" s="34" t="s">
        <v>19</v>
      </c>
      <c r="C5" s="35" t="s">
        <v>273</v>
      </c>
    </row>
    <row r="6" spans="1:7" ht="14.25" x14ac:dyDescent="0.2">
      <c r="A6" s="189" t="s">
        <v>428</v>
      </c>
      <c r="B6" s="39" t="s">
        <v>465</v>
      </c>
      <c r="C6" s="40" t="s">
        <v>466</v>
      </c>
    </row>
    <row r="7" spans="1:7" thickBot="1" x14ac:dyDescent="0.25">
      <c r="A7" s="191"/>
      <c r="B7" s="38" t="s">
        <v>467</v>
      </c>
      <c r="C7" s="29" t="s">
        <v>468</v>
      </c>
    </row>
    <row r="8" spans="1:7" thickBot="1" x14ac:dyDescent="0.25">
      <c r="A8" s="189" t="s">
        <v>429</v>
      </c>
      <c r="B8" s="39" t="s">
        <v>430</v>
      </c>
      <c r="C8" s="40" t="s">
        <v>430</v>
      </c>
    </row>
    <row r="9" spans="1:7" ht="14.25" x14ac:dyDescent="0.2">
      <c r="A9" s="190"/>
      <c r="B9" s="39" t="s">
        <v>274</v>
      </c>
      <c r="C9" s="40" t="s">
        <v>274</v>
      </c>
    </row>
  </sheetData>
  <mergeCells count="4">
    <mergeCell ref="A6:A7"/>
    <mergeCell ref="A8:A9"/>
    <mergeCell ref="A4:A5"/>
    <mergeCell ref="B4:C4"/>
  </mergeCells>
  <hyperlinks>
    <hyperlink ref="A1" location="Index!A1" display="Back to Index tab"/>
  </hyperlink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zoomScaleNormal="100" workbookViewId="0"/>
  </sheetViews>
  <sheetFormatPr defaultRowHeight="15" customHeight="1" x14ac:dyDescent="0.2"/>
  <cols>
    <col min="1" max="1" width="31.875" style="5" customWidth="1"/>
    <col min="2" max="3" width="15.625" style="5" customWidth="1"/>
    <col min="4" max="4" width="21.25" style="5" bestFit="1" customWidth="1"/>
    <col min="5" max="6" width="15.625" style="5" customWidth="1"/>
    <col min="7" max="7" width="21.25" style="5" bestFit="1" customWidth="1"/>
    <col min="8" max="16384" width="9" style="5"/>
  </cols>
  <sheetData>
    <row r="1" spans="1:7" ht="15" customHeight="1" x14ac:dyDescent="0.2">
      <c r="A1" s="101" t="s">
        <v>487</v>
      </c>
    </row>
    <row r="3" spans="1:7" ht="15" customHeight="1" x14ac:dyDescent="0.2">
      <c r="A3" s="1" t="s">
        <v>472</v>
      </c>
    </row>
    <row r="4" spans="1:7" ht="15" customHeight="1" thickBot="1" x14ac:dyDescent="0.25">
      <c r="A4" s="232" t="s">
        <v>27</v>
      </c>
      <c r="B4" s="234">
        <v>2015</v>
      </c>
      <c r="C4" s="235"/>
      <c r="D4" s="233"/>
      <c r="E4" s="234">
        <v>2017</v>
      </c>
      <c r="F4" s="235"/>
      <c r="G4" s="235"/>
    </row>
    <row r="5" spans="1:7" ht="15" customHeight="1" thickBot="1" x14ac:dyDescent="0.25">
      <c r="A5" s="233"/>
      <c r="B5" s="67" t="s">
        <v>433</v>
      </c>
      <c r="C5" s="34" t="s">
        <v>434</v>
      </c>
      <c r="D5" s="34" t="s">
        <v>470</v>
      </c>
      <c r="E5" s="67" t="s">
        <v>433</v>
      </c>
      <c r="F5" s="34" t="s">
        <v>434</v>
      </c>
      <c r="G5" s="35" t="s">
        <v>471</v>
      </c>
    </row>
    <row r="6" spans="1:7" ht="15" customHeight="1" thickBot="1" x14ac:dyDescent="0.25">
      <c r="A6" s="68" t="s">
        <v>251</v>
      </c>
      <c r="B6" s="69">
        <v>10</v>
      </c>
      <c r="C6" s="70">
        <v>30</v>
      </c>
      <c r="D6" s="70">
        <v>43</v>
      </c>
      <c r="E6" s="69">
        <v>7.09</v>
      </c>
      <c r="F6" s="70">
        <v>20</v>
      </c>
      <c r="G6" s="71">
        <v>42</v>
      </c>
    </row>
    <row r="7" spans="1:7" ht="15" customHeight="1" thickBot="1" x14ac:dyDescent="0.25">
      <c r="A7" s="68" t="s">
        <v>435</v>
      </c>
      <c r="B7" s="72">
        <v>10</v>
      </c>
      <c r="C7" s="73">
        <v>30</v>
      </c>
      <c r="D7" s="73">
        <v>70</v>
      </c>
      <c r="E7" s="72">
        <v>9.42</v>
      </c>
      <c r="F7" s="73">
        <v>30</v>
      </c>
      <c r="G7" s="74">
        <v>70</v>
      </c>
    </row>
    <row r="8" spans="1:7" ht="15" customHeight="1" thickBot="1" x14ac:dyDescent="0.25">
      <c r="A8" s="68" t="s">
        <v>436</v>
      </c>
      <c r="B8" s="69">
        <v>10</v>
      </c>
      <c r="C8" s="70">
        <v>30</v>
      </c>
      <c r="D8" s="70">
        <v>21</v>
      </c>
      <c r="E8" s="69">
        <v>6.79</v>
      </c>
      <c r="F8" s="70">
        <v>25</v>
      </c>
      <c r="G8" s="71">
        <v>22</v>
      </c>
    </row>
    <row r="9" spans="1:7" ht="15" customHeight="1" thickBot="1" x14ac:dyDescent="0.25">
      <c r="A9" s="68" t="s">
        <v>255</v>
      </c>
      <c r="B9" s="72">
        <v>10</v>
      </c>
      <c r="C9" s="73">
        <v>30</v>
      </c>
      <c r="D9" s="73">
        <v>21</v>
      </c>
      <c r="E9" s="72">
        <v>6.79</v>
      </c>
      <c r="F9" s="73">
        <v>25</v>
      </c>
      <c r="G9" s="74">
        <v>28</v>
      </c>
    </row>
    <row r="10" spans="1:7" ht="15" customHeight="1" thickBot="1" x14ac:dyDescent="0.25">
      <c r="A10" s="68" t="s">
        <v>256</v>
      </c>
      <c r="B10" s="69">
        <v>10</v>
      </c>
      <c r="C10" s="70">
        <v>30</v>
      </c>
      <c r="D10" s="70">
        <v>21</v>
      </c>
      <c r="E10" s="69">
        <v>6.79</v>
      </c>
      <c r="F10" s="70">
        <v>25</v>
      </c>
      <c r="G10" s="71">
        <v>32</v>
      </c>
    </row>
    <row r="11" spans="1:7" ht="15" customHeight="1" thickBot="1" x14ac:dyDescent="0.25">
      <c r="A11" s="68" t="s">
        <v>258</v>
      </c>
      <c r="B11" s="72">
        <v>10</v>
      </c>
      <c r="C11" s="73">
        <v>30</v>
      </c>
      <c r="D11" s="73">
        <v>23</v>
      </c>
      <c r="E11" s="75"/>
      <c r="F11" s="76"/>
      <c r="G11" s="77"/>
    </row>
    <row r="12" spans="1:7" ht="15" customHeight="1" thickBot="1" x14ac:dyDescent="0.25">
      <c r="A12" s="68" t="s">
        <v>257</v>
      </c>
      <c r="B12" s="69">
        <v>10</v>
      </c>
      <c r="C12" s="70">
        <v>30</v>
      </c>
      <c r="D12" s="70">
        <v>42</v>
      </c>
      <c r="E12" s="69">
        <v>6.79</v>
      </c>
      <c r="F12" s="70">
        <v>25</v>
      </c>
      <c r="G12" s="71">
        <v>52</v>
      </c>
    </row>
    <row r="13" spans="1:7" ht="15" customHeight="1" thickBot="1" x14ac:dyDescent="0.25">
      <c r="A13" s="68" t="s">
        <v>259</v>
      </c>
      <c r="B13" s="72">
        <v>10</v>
      </c>
      <c r="C13" s="73">
        <v>30</v>
      </c>
      <c r="D13" s="73">
        <v>42</v>
      </c>
      <c r="E13" s="75"/>
      <c r="F13" s="76"/>
      <c r="G13" s="77"/>
    </row>
    <row r="14" spans="1:7" ht="15" customHeight="1" thickBot="1" x14ac:dyDescent="0.25">
      <c r="A14" s="68" t="s">
        <v>260</v>
      </c>
      <c r="B14" s="69">
        <v>10</v>
      </c>
      <c r="C14" s="70">
        <v>30</v>
      </c>
      <c r="D14" s="70">
        <v>10</v>
      </c>
      <c r="E14" s="69">
        <v>7.03</v>
      </c>
      <c r="F14" s="70">
        <v>30</v>
      </c>
      <c r="G14" s="71">
        <v>10</v>
      </c>
    </row>
    <row r="15" spans="1:7" ht="15" customHeight="1" thickBot="1" x14ac:dyDescent="0.25">
      <c r="A15" s="68" t="s">
        <v>261</v>
      </c>
      <c r="B15" s="72">
        <v>10</v>
      </c>
      <c r="C15" s="73">
        <v>30</v>
      </c>
      <c r="D15" s="73">
        <v>83</v>
      </c>
      <c r="E15" s="72">
        <v>7.43</v>
      </c>
      <c r="F15" s="73">
        <v>40</v>
      </c>
      <c r="G15" s="74">
        <v>83</v>
      </c>
    </row>
    <row r="16" spans="1:7" ht="15" customHeight="1" thickBot="1" x14ac:dyDescent="0.25">
      <c r="A16" s="68" t="s">
        <v>262</v>
      </c>
      <c r="B16" s="69">
        <v>10</v>
      </c>
      <c r="C16" s="70">
        <v>30</v>
      </c>
      <c r="D16" s="70">
        <v>83</v>
      </c>
      <c r="E16" s="69">
        <v>7.43</v>
      </c>
      <c r="F16" s="70">
        <v>40</v>
      </c>
      <c r="G16" s="71">
        <v>83</v>
      </c>
    </row>
    <row r="17" spans="1:7" ht="15" customHeight="1" thickBot="1" x14ac:dyDescent="0.25">
      <c r="A17" s="68" t="s">
        <v>263</v>
      </c>
      <c r="B17" s="72">
        <v>10</v>
      </c>
      <c r="C17" s="73">
        <v>30</v>
      </c>
      <c r="D17" s="73">
        <v>83</v>
      </c>
      <c r="E17" s="72">
        <v>12.94</v>
      </c>
      <c r="F17" s="73">
        <v>50</v>
      </c>
      <c r="G17" s="74">
        <v>83</v>
      </c>
    </row>
    <row r="18" spans="1:7" ht="15" customHeight="1" thickBot="1" x14ac:dyDescent="0.25">
      <c r="A18" s="68" t="s">
        <v>265</v>
      </c>
      <c r="B18" s="69">
        <v>10</v>
      </c>
      <c r="C18" s="70">
        <v>30</v>
      </c>
      <c r="D18" s="70">
        <v>83</v>
      </c>
      <c r="E18" s="69">
        <v>12.94</v>
      </c>
      <c r="F18" s="70">
        <v>50</v>
      </c>
      <c r="G18" s="71">
        <v>83</v>
      </c>
    </row>
    <row r="19" spans="1:7" ht="15" customHeight="1" thickBot="1" x14ac:dyDescent="0.25">
      <c r="A19" s="68" t="s">
        <v>437</v>
      </c>
      <c r="B19" s="72">
        <v>10</v>
      </c>
      <c r="C19" s="73">
        <v>30</v>
      </c>
      <c r="D19" s="73">
        <v>20</v>
      </c>
      <c r="E19" s="72">
        <v>8.5</v>
      </c>
      <c r="F19" s="73">
        <v>60</v>
      </c>
      <c r="G19" s="74">
        <v>20</v>
      </c>
    </row>
    <row r="20" spans="1:7" ht="15" customHeight="1" x14ac:dyDescent="0.2">
      <c r="A20" s="78" t="s">
        <v>286</v>
      </c>
      <c r="B20" s="79">
        <v>10</v>
      </c>
      <c r="C20" s="80">
        <v>30</v>
      </c>
      <c r="D20" s="80">
        <v>20</v>
      </c>
      <c r="E20" s="79">
        <v>8.5</v>
      </c>
      <c r="F20" s="80">
        <v>15</v>
      </c>
      <c r="G20" s="81">
        <v>20</v>
      </c>
    </row>
  </sheetData>
  <mergeCells count="3">
    <mergeCell ref="A4:A5"/>
    <mergeCell ref="B4:D4"/>
    <mergeCell ref="E4:G4"/>
  </mergeCells>
  <hyperlinks>
    <hyperlink ref="A1" location="Index!A1" display="Back to Index tab"/>
  </hyperlinks>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zoomScaleNormal="100" workbookViewId="0"/>
  </sheetViews>
  <sheetFormatPr defaultRowHeight="15" x14ac:dyDescent="0.2"/>
  <cols>
    <col min="1" max="1" width="17.125" style="126" customWidth="1"/>
    <col min="2" max="5" width="10.625" style="36" customWidth="1"/>
    <col min="6" max="15" width="10.625" style="37" customWidth="1"/>
    <col min="16" max="16384" width="9" style="37"/>
  </cols>
  <sheetData>
    <row r="1" spans="1:15" ht="14.25" x14ac:dyDescent="0.2">
      <c r="A1" s="101" t="s">
        <v>487</v>
      </c>
    </row>
    <row r="3" spans="1:15" ht="14.25" x14ac:dyDescent="0.2">
      <c r="A3" s="1" t="s">
        <v>530</v>
      </c>
      <c r="B3" s="1"/>
      <c r="C3" s="1"/>
      <c r="D3" s="1"/>
      <c r="E3" s="1"/>
      <c r="F3" s="1"/>
      <c r="G3" s="1"/>
    </row>
    <row r="4" spans="1:15" thickBot="1" x14ac:dyDescent="0.25">
      <c r="A4" s="236" t="s">
        <v>27</v>
      </c>
      <c r="B4" s="238">
        <v>2015</v>
      </c>
      <c r="C4" s="239"/>
      <c r="D4" s="239"/>
      <c r="E4" s="239"/>
      <c r="F4" s="239"/>
      <c r="G4" s="239"/>
      <c r="H4" s="237"/>
      <c r="I4" s="238">
        <v>2017</v>
      </c>
      <c r="J4" s="239"/>
      <c r="K4" s="239"/>
      <c r="L4" s="239"/>
      <c r="M4" s="239"/>
      <c r="N4" s="239"/>
      <c r="O4" s="239"/>
    </row>
    <row r="5" spans="1:15" ht="36.75" thickBot="1" x14ac:dyDescent="0.25">
      <c r="A5" s="237"/>
      <c r="B5" s="47" t="s">
        <v>275</v>
      </c>
      <c r="C5" s="47" t="s">
        <v>528</v>
      </c>
      <c r="D5" s="47" t="s">
        <v>276</v>
      </c>
      <c r="E5" s="47" t="s">
        <v>277</v>
      </c>
      <c r="F5" s="47" t="s">
        <v>278</v>
      </c>
      <c r="G5" s="47" t="s">
        <v>279</v>
      </c>
      <c r="H5" s="47" t="s">
        <v>529</v>
      </c>
      <c r="I5" s="47" t="s">
        <v>275</v>
      </c>
      <c r="J5" s="47" t="s">
        <v>528</v>
      </c>
      <c r="K5" s="47" t="s">
        <v>276</v>
      </c>
      <c r="L5" s="47" t="s">
        <v>277</v>
      </c>
      <c r="M5" s="47" t="s">
        <v>278</v>
      </c>
      <c r="N5" s="47" t="s">
        <v>279</v>
      </c>
      <c r="O5" s="47" t="s">
        <v>529</v>
      </c>
    </row>
    <row r="6" spans="1:15" thickBot="1" x14ac:dyDescent="0.25">
      <c r="A6" s="240" t="s">
        <v>280</v>
      </c>
      <c r="B6" s="240"/>
      <c r="C6" s="240"/>
      <c r="D6" s="240"/>
      <c r="E6" s="240"/>
      <c r="F6" s="240"/>
      <c r="G6" s="240"/>
      <c r="H6" s="240"/>
      <c r="I6" s="240"/>
      <c r="J6" s="240"/>
      <c r="K6" s="240"/>
      <c r="L6" s="240"/>
      <c r="M6" s="240"/>
      <c r="N6" s="240"/>
      <c r="O6" s="240"/>
    </row>
    <row r="7" spans="1:15" thickBot="1" x14ac:dyDescent="0.25">
      <c r="A7" s="48" t="s">
        <v>251</v>
      </c>
      <c r="B7" s="49">
        <f>107/105.1*2550</f>
        <v>2596.0989533777356</v>
      </c>
      <c r="C7" s="181" t="s">
        <v>473</v>
      </c>
      <c r="D7" s="181">
        <f>107/105.1*15</f>
        <v>15.27117031398668</v>
      </c>
      <c r="E7" s="181">
        <f>107/105.1*45</f>
        <v>45.81351094196004</v>
      </c>
      <c r="F7" s="50" t="s">
        <v>473</v>
      </c>
      <c r="G7" s="50" t="s">
        <v>473</v>
      </c>
      <c r="H7" s="50">
        <v>100</v>
      </c>
      <c r="I7" s="49">
        <v>2650</v>
      </c>
      <c r="J7" s="50" t="s">
        <v>283</v>
      </c>
      <c r="K7" s="50">
        <v>15</v>
      </c>
      <c r="L7" s="50">
        <v>45</v>
      </c>
      <c r="M7" s="50" t="s">
        <v>283</v>
      </c>
      <c r="N7" s="50" t="s">
        <v>283</v>
      </c>
      <c r="O7" s="51">
        <v>100</v>
      </c>
    </row>
    <row r="8" spans="1:15" thickBot="1" x14ac:dyDescent="0.25">
      <c r="A8" s="48" t="s">
        <v>5</v>
      </c>
      <c r="B8" s="52">
        <f>107/105.1*5200</f>
        <v>5294.0057088487156</v>
      </c>
      <c r="C8" s="183" t="s">
        <v>281</v>
      </c>
      <c r="D8" s="183">
        <f>107/105.1*8</f>
        <v>8.144624167459563</v>
      </c>
      <c r="E8" s="183">
        <f>107/105.1*125</f>
        <v>127.25975261655567</v>
      </c>
      <c r="F8" s="53" t="s">
        <v>282</v>
      </c>
      <c r="G8" s="53" t="s">
        <v>281</v>
      </c>
      <c r="H8" s="53">
        <v>28</v>
      </c>
      <c r="I8" s="52">
        <v>5500</v>
      </c>
      <c r="J8" s="53" t="s">
        <v>283</v>
      </c>
      <c r="K8" s="53">
        <v>8</v>
      </c>
      <c r="L8" s="53">
        <v>125</v>
      </c>
      <c r="M8" s="53" t="s">
        <v>283</v>
      </c>
      <c r="N8" s="53" t="s">
        <v>283</v>
      </c>
      <c r="O8" s="54">
        <v>28</v>
      </c>
    </row>
    <row r="9" spans="1:15" thickBot="1" x14ac:dyDescent="0.25">
      <c r="A9" s="48" t="s">
        <v>284</v>
      </c>
      <c r="B9" s="49">
        <f>107/105.1*2350</f>
        <v>2392.4833491912468</v>
      </c>
      <c r="C9" s="184" t="s">
        <v>281</v>
      </c>
      <c r="D9" s="184" t="s">
        <v>281</v>
      </c>
      <c r="E9" s="184">
        <f>107/105.1*25</f>
        <v>25.451950523311133</v>
      </c>
      <c r="F9" s="55" t="s">
        <v>282</v>
      </c>
      <c r="G9" s="55" t="s">
        <v>281</v>
      </c>
      <c r="H9" s="55">
        <v>100</v>
      </c>
      <c r="I9" s="49">
        <v>1920</v>
      </c>
      <c r="J9" s="55" t="s">
        <v>283</v>
      </c>
      <c r="K9" s="55" t="s">
        <v>285</v>
      </c>
      <c r="L9" s="55">
        <v>25</v>
      </c>
      <c r="M9" s="55" t="s">
        <v>283</v>
      </c>
      <c r="N9" s="55" t="s">
        <v>283</v>
      </c>
      <c r="O9" s="56">
        <v>100</v>
      </c>
    </row>
    <row r="10" spans="1:15" thickBot="1" x14ac:dyDescent="0.25">
      <c r="A10" s="48" t="s">
        <v>255</v>
      </c>
      <c r="B10" s="52">
        <f>107/105.1*2900</f>
        <v>2952.4262607040914</v>
      </c>
      <c r="C10" s="183" t="s">
        <v>281</v>
      </c>
      <c r="D10" s="183" t="s">
        <v>281</v>
      </c>
      <c r="E10" s="183">
        <f>107/105.1*30</f>
        <v>30.54234062797336</v>
      </c>
      <c r="F10" s="53" t="s">
        <v>282</v>
      </c>
      <c r="G10" s="53" t="s">
        <v>281</v>
      </c>
      <c r="H10" s="53">
        <v>100</v>
      </c>
      <c r="I10" s="52">
        <v>2260</v>
      </c>
      <c r="J10" s="53" t="s">
        <v>283</v>
      </c>
      <c r="K10" s="53" t="s">
        <v>285</v>
      </c>
      <c r="L10" s="53">
        <v>30</v>
      </c>
      <c r="M10" s="53" t="s">
        <v>283</v>
      </c>
      <c r="N10" s="53" t="s">
        <v>283</v>
      </c>
      <c r="O10" s="54">
        <v>100</v>
      </c>
    </row>
    <row r="11" spans="1:15" thickBot="1" x14ac:dyDescent="0.25">
      <c r="A11" s="48" t="s">
        <v>256</v>
      </c>
      <c r="B11" s="49">
        <f>107/105.1*3800</f>
        <v>3868.6964795432923</v>
      </c>
      <c r="C11" s="184" t="s">
        <v>281</v>
      </c>
      <c r="D11" s="184" t="s">
        <v>281</v>
      </c>
      <c r="E11" s="184">
        <f>107/105.1*39</f>
        <v>39.705042816365371</v>
      </c>
      <c r="F11" s="55" t="s">
        <v>282</v>
      </c>
      <c r="G11" s="55" t="s">
        <v>281</v>
      </c>
      <c r="H11" s="55">
        <v>100</v>
      </c>
      <c r="I11" s="49">
        <v>2810</v>
      </c>
      <c r="J11" s="55" t="s">
        <v>283</v>
      </c>
      <c r="K11" s="55" t="s">
        <v>285</v>
      </c>
      <c r="L11" s="55">
        <v>39</v>
      </c>
      <c r="M11" s="55" t="s">
        <v>283</v>
      </c>
      <c r="N11" s="55" t="s">
        <v>283</v>
      </c>
      <c r="O11" s="56">
        <v>100</v>
      </c>
    </row>
    <row r="12" spans="1:15" thickBot="1" x14ac:dyDescent="0.25">
      <c r="A12" s="48" t="s">
        <v>258</v>
      </c>
      <c r="B12" s="57">
        <f>107/105.1*4500</f>
        <v>4581.3510941960039</v>
      </c>
      <c r="C12" s="183" t="s">
        <v>473</v>
      </c>
      <c r="D12" s="182">
        <f>107/105.1*15.2</f>
        <v>15.474785918173168</v>
      </c>
      <c r="E12" s="182">
        <f>107/105.1*64</f>
        <v>65.156993339676504</v>
      </c>
      <c r="F12" s="58" t="s">
        <v>473</v>
      </c>
      <c r="G12" s="58" t="s">
        <v>473</v>
      </c>
      <c r="H12" s="58">
        <v>100</v>
      </c>
      <c r="I12" s="59"/>
      <c r="J12" s="59"/>
      <c r="K12" s="59"/>
      <c r="L12" s="59"/>
      <c r="M12" s="59"/>
      <c r="N12" s="59"/>
      <c r="O12" s="60"/>
    </row>
    <row r="13" spans="1:15" ht="18.75" thickBot="1" x14ac:dyDescent="0.25">
      <c r="A13" s="48" t="s">
        <v>257</v>
      </c>
      <c r="B13" s="49">
        <f>107/105.1*6700</f>
        <v>6821.1227402473842</v>
      </c>
      <c r="C13" s="181" t="s">
        <v>473</v>
      </c>
      <c r="D13" s="181">
        <f>107/105.1*5.7</f>
        <v>5.803044719314939</v>
      </c>
      <c r="E13" s="181">
        <f>107/105.1*72</f>
        <v>73.301617507136072</v>
      </c>
      <c r="F13" s="50" t="s">
        <v>473</v>
      </c>
      <c r="G13" s="50" t="s">
        <v>473</v>
      </c>
      <c r="H13" s="50">
        <v>100</v>
      </c>
      <c r="I13" s="49">
        <v>6230</v>
      </c>
      <c r="J13" s="50" t="s">
        <v>283</v>
      </c>
      <c r="K13" s="50">
        <v>5.7</v>
      </c>
      <c r="L13" s="50">
        <v>72</v>
      </c>
      <c r="M13" s="50" t="s">
        <v>283</v>
      </c>
      <c r="N13" s="50" t="s">
        <v>283</v>
      </c>
      <c r="O13" s="51">
        <v>100</v>
      </c>
    </row>
    <row r="14" spans="1:15" ht="18.75" thickBot="1" x14ac:dyDescent="0.25">
      <c r="A14" s="48" t="s">
        <v>259</v>
      </c>
      <c r="B14" s="52">
        <f>107/105.1*9100</f>
        <v>9264.5099904852523</v>
      </c>
      <c r="C14" s="182" t="s">
        <v>473</v>
      </c>
      <c r="D14" s="182">
        <f>107/105.1*11.4</f>
        <v>11.606089438629878</v>
      </c>
      <c r="E14" s="182">
        <f>107/105.1*73</f>
        <v>74.319695528068507</v>
      </c>
      <c r="F14" s="58" t="s">
        <v>473</v>
      </c>
      <c r="G14" s="58" t="s">
        <v>473</v>
      </c>
      <c r="H14" s="58">
        <v>100</v>
      </c>
      <c r="I14" s="59"/>
      <c r="J14" s="59"/>
      <c r="K14" s="59"/>
      <c r="L14" s="59"/>
      <c r="M14" s="59"/>
      <c r="N14" s="59"/>
      <c r="O14" s="60"/>
    </row>
    <row r="15" spans="1:15" thickBot="1" x14ac:dyDescent="0.25">
      <c r="A15" s="240" t="s">
        <v>286</v>
      </c>
      <c r="B15" s="240"/>
      <c r="C15" s="240"/>
      <c r="D15" s="240"/>
      <c r="E15" s="240"/>
      <c r="F15" s="240"/>
      <c r="G15" s="240"/>
      <c r="H15" s="240"/>
      <c r="I15" s="240"/>
      <c r="J15" s="240"/>
      <c r="K15" s="240"/>
      <c r="L15" s="240"/>
      <c r="M15" s="240"/>
      <c r="N15" s="240"/>
      <c r="O15" s="240"/>
    </row>
    <row r="16" spans="1:15" thickBot="1" x14ac:dyDescent="0.25">
      <c r="A16" s="48" t="s">
        <v>269</v>
      </c>
      <c r="B16" s="52">
        <f>107/105.1*3200</f>
        <v>3257.849666983825</v>
      </c>
      <c r="C16" s="182" t="s">
        <v>473</v>
      </c>
      <c r="D16" s="182">
        <f>107/105.1*5</f>
        <v>5.0903901046622266</v>
      </c>
      <c r="E16" s="182">
        <f>107/105.1*5</f>
        <v>5.0903901046622266</v>
      </c>
      <c r="F16" s="58" t="s">
        <v>473</v>
      </c>
      <c r="G16" s="58" t="s">
        <v>473</v>
      </c>
      <c r="H16" s="58">
        <v>100</v>
      </c>
      <c r="I16" s="52">
        <v>3130</v>
      </c>
      <c r="J16" s="58" t="s">
        <v>283</v>
      </c>
      <c r="K16" s="58">
        <v>5</v>
      </c>
      <c r="L16" s="58">
        <v>5</v>
      </c>
      <c r="M16" s="58" t="s">
        <v>283</v>
      </c>
      <c r="N16" s="58" t="s">
        <v>283</v>
      </c>
      <c r="O16" s="61">
        <v>100</v>
      </c>
    </row>
    <row r="17" spans="1:15" ht="14.25" x14ac:dyDescent="0.2">
      <c r="A17" s="62" t="s">
        <v>287</v>
      </c>
      <c r="B17" s="63">
        <f>107/105.1*4500</f>
        <v>4581.3510941960039</v>
      </c>
      <c r="C17" s="185" t="s">
        <v>473</v>
      </c>
      <c r="D17" s="185">
        <f>107/105.1*6</f>
        <v>6.1084681255946727</v>
      </c>
      <c r="E17" s="185">
        <f>107/105.1*30</f>
        <v>30.54234062797336</v>
      </c>
      <c r="F17" s="64" t="s">
        <v>473</v>
      </c>
      <c r="G17" s="64" t="s">
        <v>473</v>
      </c>
      <c r="H17" s="64">
        <v>100</v>
      </c>
      <c r="I17" s="63">
        <v>2810</v>
      </c>
      <c r="J17" s="64" t="s">
        <v>283</v>
      </c>
      <c r="K17" s="64">
        <v>6</v>
      </c>
      <c r="L17" s="64">
        <v>30</v>
      </c>
      <c r="M17" s="64" t="s">
        <v>283</v>
      </c>
      <c r="N17" s="64" t="s">
        <v>283</v>
      </c>
      <c r="O17" s="65">
        <v>100</v>
      </c>
    </row>
    <row r="18" spans="1:15" ht="14.25" x14ac:dyDescent="0.2">
      <c r="A18" s="156" t="s">
        <v>531</v>
      </c>
      <c r="B18" s="5"/>
      <c r="C18" s="5"/>
      <c r="D18" s="5"/>
      <c r="E18" s="5"/>
      <c r="F18" s="5"/>
      <c r="G18" s="5"/>
      <c r="H18" s="5"/>
      <c r="I18" s="5"/>
      <c r="J18" s="5"/>
      <c r="K18" s="5"/>
      <c r="L18" s="5"/>
      <c r="M18" s="5"/>
      <c r="N18" s="5"/>
      <c r="O18" s="5"/>
    </row>
    <row r="19" spans="1:15" ht="14.25" x14ac:dyDescent="0.2">
      <c r="A19" s="156" t="s">
        <v>532</v>
      </c>
    </row>
  </sheetData>
  <mergeCells count="5">
    <mergeCell ref="A4:A5"/>
    <mergeCell ref="B4:H4"/>
    <mergeCell ref="I4:O4"/>
    <mergeCell ref="A6:O6"/>
    <mergeCell ref="A15:O15"/>
  </mergeCells>
  <hyperlinks>
    <hyperlink ref="C5" location="_ftn1" display="_ftn1"/>
    <hyperlink ref="H5" location="_ftn2" display="_ftn2"/>
    <hyperlink ref="J5" location="_ftn3" display="_ftn3"/>
    <hyperlink ref="O5" location="_ftn4" display="_ftn4"/>
    <hyperlink ref="A1" location="Index!A1" display="Back to Index tab"/>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zoomScaleNormal="100" workbookViewId="0">
      <selection activeCell="I7" sqref="I7"/>
    </sheetView>
  </sheetViews>
  <sheetFormatPr defaultRowHeight="15" x14ac:dyDescent="0.2"/>
  <cols>
    <col min="1" max="1" width="17.125" style="126" customWidth="1"/>
    <col min="2" max="5" width="10.625" style="36" customWidth="1"/>
    <col min="6" max="15" width="10.625" style="37" customWidth="1"/>
    <col min="16" max="16384" width="9" style="37"/>
  </cols>
  <sheetData>
    <row r="1" spans="1:15" ht="14.25" x14ac:dyDescent="0.2">
      <c r="A1" s="101" t="s">
        <v>487</v>
      </c>
    </row>
    <row r="3" spans="1:15" ht="14.25" x14ac:dyDescent="0.2">
      <c r="A3" s="1" t="s">
        <v>533</v>
      </c>
      <c r="B3" s="1"/>
      <c r="C3" s="1"/>
      <c r="D3" s="1"/>
      <c r="E3" s="1"/>
      <c r="F3" s="1"/>
      <c r="G3" s="1"/>
    </row>
    <row r="4" spans="1:15" thickBot="1" x14ac:dyDescent="0.25">
      <c r="A4" s="236" t="s">
        <v>27</v>
      </c>
      <c r="B4" s="238">
        <v>2015</v>
      </c>
      <c r="C4" s="239"/>
      <c r="D4" s="239"/>
      <c r="E4" s="239"/>
      <c r="F4" s="239"/>
      <c r="G4" s="239"/>
      <c r="H4" s="237"/>
      <c r="I4" s="238">
        <v>2017</v>
      </c>
      <c r="J4" s="239"/>
      <c r="K4" s="239"/>
      <c r="L4" s="239"/>
      <c r="M4" s="239"/>
      <c r="N4" s="239"/>
      <c r="O4" s="239"/>
    </row>
    <row r="5" spans="1:15" ht="36.75" thickBot="1" x14ac:dyDescent="0.25">
      <c r="A5" s="237"/>
      <c r="B5" s="155" t="s">
        <v>275</v>
      </c>
      <c r="C5" s="155" t="s">
        <v>528</v>
      </c>
      <c r="D5" s="155" t="s">
        <v>276</v>
      </c>
      <c r="E5" s="155" t="s">
        <v>277</v>
      </c>
      <c r="F5" s="155" t="s">
        <v>278</v>
      </c>
      <c r="G5" s="155" t="s">
        <v>279</v>
      </c>
      <c r="H5" s="155" t="s">
        <v>529</v>
      </c>
      <c r="I5" s="155" t="s">
        <v>275</v>
      </c>
      <c r="J5" s="155" t="s">
        <v>528</v>
      </c>
      <c r="K5" s="155" t="s">
        <v>276</v>
      </c>
      <c r="L5" s="155" t="s">
        <v>277</v>
      </c>
      <c r="M5" s="155" t="s">
        <v>278</v>
      </c>
      <c r="N5" s="155" t="s">
        <v>279</v>
      </c>
      <c r="O5" s="155" t="s">
        <v>529</v>
      </c>
    </row>
    <row r="6" spans="1:15" ht="15" customHeight="1" thickBot="1" x14ac:dyDescent="0.25">
      <c r="A6" s="240" t="s">
        <v>288</v>
      </c>
      <c r="B6" s="240"/>
      <c r="C6" s="240"/>
      <c r="D6" s="240"/>
      <c r="E6" s="240"/>
      <c r="F6" s="240"/>
      <c r="G6" s="240"/>
      <c r="H6" s="240"/>
      <c r="I6" s="240"/>
      <c r="J6" s="240"/>
      <c r="K6" s="240"/>
      <c r="L6" s="240"/>
      <c r="M6" s="240"/>
      <c r="N6" s="240"/>
      <c r="O6" s="240"/>
    </row>
    <row r="7" spans="1:15" ht="18.75" thickBot="1" x14ac:dyDescent="0.25">
      <c r="A7" s="48" t="s">
        <v>289</v>
      </c>
      <c r="B7" s="49">
        <f>107/105.1*725</f>
        <v>738.10656517602285</v>
      </c>
      <c r="C7" s="181">
        <f>107/105.1*5.9</f>
        <v>6.0066603235014284</v>
      </c>
      <c r="D7" s="181">
        <f>107/105.1*10</f>
        <v>10.180780209324453</v>
      </c>
      <c r="E7" s="181">
        <f>107/105.1*4</f>
        <v>4.0723120837297815</v>
      </c>
      <c r="F7" s="50">
        <v>57</v>
      </c>
      <c r="G7" s="50" t="s">
        <v>281</v>
      </c>
      <c r="H7" s="50">
        <v>35</v>
      </c>
      <c r="I7" s="49">
        <v>1120</v>
      </c>
      <c r="J7" s="50">
        <v>10.07</v>
      </c>
      <c r="K7" s="50">
        <v>10</v>
      </c>
      <c r="L7" s="50">
        <v>4</v>
      </c>
      <c r="M7" s="50">
        <v>54</v>
      </c>
      <c r="N7" s="50" t="s">
        <v>285</v>
      </c>
      <c r="O7" s="51">
        <v>35</v>
      </c>
    </row>
    <row r="8" spans="1:15" ht="18.75" thickBot="1" x14ac:dyDescent="0.25">
      <c r="A8" s="48" t="s">
        <v>290</v>
      </c>
      <c r="B8" s="52">
        <f>107/105.1*1092</f>
        <v>1111.7411988582303</v>
      </c>
      <c r="C8" s="182">
        <f>107/105.1*3.9</f>
        <v>3.9705042816365368</v>
      </c>
      <c r="D8" s="182">
        <f>107/105.1*7</f>
        <v>7.1265461465271178</v>
      </c>
      <c r="E8" s="182">
        <f>107/105.1*10</f>
        <v>10.180780209324453</v>
      </c>
      <c r="F8" s="58">
        <v>57</v>
      </c>
      <c r="G8" s="58" t="s">
        <v>281</v>
      </c>
      <c r="H8" s="58">
        <v>51</v>
      </c>
      <c r="I8" s="52">
        <v>1590</v>
      </c>
      <c r="J8" s="58">
        <v>8.07</v>
      </c>
      <c r="K8" s="58">
        <v>7</v>
      </c>
      <c r="L8" s="58">
        <v>10</v>
      </c>
      <c r="M8" s="58">
        <v>54</v>
      </c>
      <c r="N8" s="58" t="s">
        <v>285</v>
      </c>
      <c r="O8" s="61">
        <v>52</v>
      </c>
    </row>
    <row r="9" spans="1:15" ht="18.75" thickBot="1" x14ac:dyDescent="0.25">
      <c r="A9" s="48" t="s">
        <v>291</v>
      </c>
      <c r="B9" s="49">
        <f>107/105.1*2940</f>
        <v>2993.1493815413892</v>
      </c>
      <c r="C9" s="181">
        <f>107/105.1*3.9</f>
        <v>3.9705042816365368</v>
      </c>
      <c r="D9" s="181">
        <f>107/105.1*12</f>
        <v>12.216936251189345</v>
      </c>
      <c r="E9" s="181">
        <f>107/105.1*17</f>
        <v>17.307326355851572</v>
      </c>
      <c r="F9" s="50">
        <v>57</v>
      </c>
      <c r="G9" s="50">
        <v>85</v>
      </c>
      <c r="H9" s="50">
        <v>44</v>
      </c>
      <c r="I9" s="49">
        <v>3220</v>
      </c>
      <c r="J9" s="50">
        <v>8.07</v>
      </c>
      <c r="K9" s="50">
        <v>12</v>
      </c>
      <c r="L9" s="50">
        <v>17</v>
      </c>
      <c r="M9" s="50">
        <v>54</v>
      </c>
      <c r="N9" s="50">
        <v>85</v>
      </c>
      <c r="O9" s="51">
        <v>45</v>
      </c>
    </row>
    <row r="10" spans="1:15" ht="18.75" thickBot="1" x14ac:dyDescent="0.25">
      <c r="A10" s="48" t="s">
        <v>292</v>
      </c>
      <c r="B10" s="52">
        <f>107/105.1*4386</f>
        <v>4465.290199809705</v>
      </c>
      <c r="C10" s="182">
        <f>107/105.1*0.39</f>
        <v>0.39705042816365371</v>
      </c>
      <c r="D10" s="182">
        <f>107/105.1*5</f>
        <v>5.0903901046622266</v>
      </c>
      <c r="E10" s="182">
        <f>107/105.1*65.5</f>
        <v>66.684110371075178</v>
      </c>
      <c r="F10" s="58">
        <v>97</v>
      </c>
      <c r="G10" s="58" t="s">
        <v>281</v>
      </c>
      <c r="H10" s="58">
        <v>29</v>
      </c>
      <c r="I10" s="52">
        <v>4020</v>
      </c>
      <c r="J10" s="58">
        <v>0.43</v>
      </c>
      <c r="K10" s="58">
        <v>5</v>
      </c>
      <c r="L10" s="58">
        <v>65.5</v>
      </c>
      <c r="M10" s="58">
        <v>97</v>
      </c>
      <c r="N10" s="58" t="s">
        <v>285</v>
      </c>
      <c r="O10" s="61">
        <v>29</v>
      </c>
    </row>
    <row r="11" spans="1:15" ht="18.75" thickBot="1" x14ac:dyDescent="0.25">
      <c r="A11" s="48" t="s">
        <v>293</v>
      </c>
      <c r="B11" s="49">
        <f>107/105.1*8277</f>
        <v>8426.6317792578502</v>
      </c>
      <c r="C11" s="181">
        <f>107/105.1*0.39</f>
        <v>0.39705042816365371</v>
      </c>
      <c r="D11" s="181">
        <f>107/105.1*11</f>
        <v>11.198858230256899</v>
      </c>
      <c r="E11" s="181">
        <f>107/105.1*96.5</f>
        <v>98.244529019980973</v>
      </c>
      <c r="F11" s="50">
        <v>97</v>
      </c>
      <c r="G11" s="50">
        <v>90</v>
      </c>
      <c r="H11" s="50">
        <v>21</v>
      </c>
      <c r="I11" s="49">
        <v>8530</v>
      </c>
      <c r="J11" s="50">
        <v>0.43</v>
      </c>
      <c r="K11" s="50">
        <v>11</v>
      </c>
      <c r="L11" s="50">
        <v>96.5</v>
      </c>
      <c r="M11" s="50">
        <v>97</v>
      </c>
      <c r="N11" s="50">
        <v>90</v>
      </c>
      <c r="O11" s="51">
        <v>22</v>
      </c>
    </row>
    <row r="12" spans="1:15" ht="18.75" thickBot="1" x14ac:dyDescent="0.25">
      <c r="A12" s="48" t="s">
        <v>294</v>
      </c>
      <c r="B12" s="52">
        <f>107/105.1*2880</f>
        <v>2932.0647002854425</v>
      </c>
      <c r="C12" s="182">
        <f>107/105.1*1.55</f>
        <v>1.5780209324452903</v>
      </c>
      <c r="D12" s="182">
        <f>107/105.1*4</f>
        <v>4.0723120837297815</v>
      </c>
      <c r="E12" s="182">
        <f>107/105.1*50.5</f>
        <v>51.412940057088491</v>
      </c>
      <c r="F12" s="58">
        <v>91</v>
      </c>
      <c r="G12" s="58" t="s">
        <v>281</v>
      </c>
      <c r="H12" s="58">
        <v>42</v>
      </c>
      <c r="I12" s="52">
        <v>3210</v>
      </c>
      <c r="J12" s="58">
        <v>1.32</v>
      </c>
      <c r="K12" s="58">
        <v>4</v>
      </c>
      <c r="L12" s="58">
        <v>50.5</v>
      </c>
      <c r="M12" s="58">
        <v>93</v>
      </c>
      <c r="N12" s="58" t="s">
        <v>285</v>
      </c>
      <c r="O12" s="61">
        <v>42</v>
      </c>
    </row>
    <row r="13" spans="1:15" ht="18" x14ac:dyDescent="0.2">
      <c r="A13" s="62" t="s">
        <v>295</v>
      </c>
      <c r="B13" s="63">
        <f>107/105.1*5388</f>
        <v>5485.4043767840158</v>
      </c>
      <c r="C13" s="185">
        <f>107/105.1*1.55</f>
        <v>1.5780209324452903</v>
      </c>
      <c r="D13" s="185">
        <f>107/105.1*9</f>
        <v>9.162702188392009</v>
      </c>
      <c r="E13" s="185">
        <f>107/105.1*73.2</f>
        <v>74.523311132255003</v>
      </c>
      <c r="F13" s="64">
        <v>91</v>
      </c>
      <c r="G13" s="64">
        <v>90</v>
      </c>
      <c r="H13" s="64">
        <v>31</v>
      </c>
      <c r="I13" s="63">
        <v>7050</v>
      </c>
      <c r="J13" s="64">
        <v>1.32</v>
      </c>
      <c r="K13" s="64">
        <v>9</v>
      </c>
      <c r="L13" s="64">
        <v>73.2</v>
      </c>
      <c r="M13" s="64">
        <v>93</v>
      </c>
      <c r="N13" s="64">
        <v>90</v>
      </c>
      <c r="O13" s="65">
        <v>32</v>
      </c>
    </row>
    <row r="14" spans="1:15" ht="14.25" x14ac:dyDescent="0.2">
      <c r="A14" s="156" t="s">
        <v>531</v>
      </c>
      <c r="B14" s="5"/>
      <c r="C14" s="5"/>
      <c r="D14" s="5"/>
      <c r="E14" s="5"/>
      <c r="F14" s="5"/>
      <c r="G14" s="5"/>
      <c r="H14" s="5"/>
      <c r="I14" s="5"/>
      <c r="J14" s="5"/>
      <c r="K14" s="5"/>
      <c r="L14" s="5"/>
      <c r="M14" s="5"/>
      <c r="N14" s="5"/>
      <c r="O14" s="5"/>
    </row>
    <row r="15" spans="1:15" ht="14.25" x14ac:dyDescent="0.2">
      <c r="A15" s="156" t="s">
        <v>532</v>
      </c>
    </row>
  </sheetData>
  <mergeCells count="4">
    <mergeCell ref="A4:A5"/>
    <mergeCell ref="B4:H4"/>
    <mergeCell ref="I4:O4"/>
    <mergeCell ref="A6:O6"/>
  </mergeCells>
  <hyperlinks>
    <hyperlink ref="C5" location="_ftn1" display="_ftn1"/>
    <hyperlink ref="H5" location="_ftn2" display="_ftn2"/>
    <hyperlink ref="J5" location="_ftn3" display="_ftn3"/>
    <hyperlink ref="O5" location="_ftn4" display="_ftn4"/>
    <hyperlink ref="A1" location="Index!A1" display="Back to Index tab"/>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ustomHeight="1" x14ac:dyDescent="0.2"/>
  <cols>
    <col min="1" max="1" width="13" style="5" bestFit="1" customWidth="1"/>
    <col min="2" max="2" width="20.375" style="5" customWidth="1"/>
    <col min="3" max="3" width="16.625" style="5" bestFit="1" customWidth="1"/>
    <col min="4" max="16384" width="9" style="5"/>
  </cols>
  <sheetData>
    <row r="1" spans="1:3" ht="15" customHeight="1" x14ac:dyDescent="0.2">
      <c r="A1" s="101" t="s">
        <v>487</v>
      </c>
    </row>
    <row r="3" spans="1:3" ht="15" customHeight="1" x14ac:dyDescent="0.2">
      <c r="A3" s="1" t="s">
        <v>398</v>
      </c>
    </row>
    <row r="4" spans="1:3" ht="15" customHeight="1" thickBot="1" x14ac:dyDescent="0.25">
      <c r="A4" s="34" t="s">
        <v>20</v>
      </c>
      <c r="B4" s="34" t="s">
        <v>171</v>
      </c>
      <c r="C4" s="35" t="s">
        <v>399</v>
      </c>
    </row>
    <row r="5" spans="1:3" ht="15" customHeight="1" thickBot="1" x14ac:dyDescent="0.25">
      <c r="A5" s="186" t="s">
        <v>351</v>
      </c>
      <c r="B5" s="88" t="s">
        <v>349</v>
      </c>
      <c r="C5" s="74">
        <v>156</v>
      </c>
    </row>
    <row r="6" spans="1:3" ht="15" customHeight="1" thickBot="1" x14ac:dyDescent="0.25">
      <c r="A6" s="187"/>
      <c r="B6" s="87" t="s">
        <v>354</v>
      </c>
      <c r="C6" s="71">
        <v>228.3</v>
      </c>
    </row>
    <row r="7" spans="1:3" ht="15" customHeight="1" thickBot="1" x14ac:dyDescent="0.25">
      <c r="A7" s="187"/>
      <c r="B7" s="88" t="s">
        <v>358</v>
      </c>
      <c r="C7" s="74">
        <v>80</v>
      </c>
    </row>
    <row r="8" spans="1:3" ht="15" customHeight="1" thickBot="1" x14ac:dyDescent="0.25">
      <c r="A8" s="187"/>
      <c r="B8" s="87" t="s">
        <v>362</v>
      </c>
      <c r="C8" s="71">
        <v>90</v>
      </c>
    </row>
    <row r="9" spans="1:3" ht="15" customHeight="1" thickBot="1" x14ac:dyDescent="0.25">
      <c r="A9" s="187"/>
      <c r="B9" s="88" t="s">
        <v>363</v>
      </c>
      <c r="C9" s="74">
        <v>180</v>
      </c>
    </row>
    <row r="10" spans="1:3" ht="15" customHeight="1" thickBot="1" x14ac:dyDescent="0.25">
      <c r="A10" s="187"/>
      <c r="B10" s="132" t="s">
        <v>493</v>
      </c>
      <c r="C10" s="71">
        <v>478</v>
      </c>
    </row>
    <row r="11" spans="1:3" ht="15" customHeight="1" thickBot="1" x14ac:dyDescent="0.25">
      <c r="A11" s="187"/>
      <c r="B11" s="88" t="s">
        <v>367</v>
      </c>
      <c r="C11" s="74">
        <v>224</v>
      </c>
    </row>
    <row r="12" spans="1:3" ht="15" customHeight="1" thickBot="1" x14ac:dyDescent="0.25">
      <c r="A12" s="187"/>
      <c r="B12" s="87" t="s">
        <v>371</v>
      </c>
      <c r="C12" s="71">
        <v>480</v>
      </c>
    </row>
    <row r="13" spans="1:3" ht="15" customHeight="1" thickBot="1" x14ac:dyDescent="0.25">
      <c r="A13" s="188"/>
      <c r="B13" s="88" t="s">
        <v>372</v>
      </c>
      <c r="C13" s="74">
        <v>800</v>
      </c>
    </row>
    <row r="14" spans="1:3" ht="15" customHeight="1" thickBot="1" x14ac:dyDescent="0.25">
      <c r="A14" s="186" t="s">
        <v>1</v>
      </c>
      <c r="B14" s="87" t="s">
        <v>348</v>
      </c>
      <c r="C14" s="71">
        <v>56.7</v>
      </c>
    </row>
    <row r="15" spans="1:3" ht="15" customHeight="1" thickBot="1" x14ac:dyDescent="0.25">
      <c r="A15" s="187"/>
      <c r="B15" s="88" t="s">
        <v>352</v>
      </c>
      <c r="C15" s="74">
        <v>132.30000000000001</v>
      </c>
    </row>
    <row r="16" spans="1:3" ht="15" customHeight="1" thickBot="1" x14ac:dyDescent="0.25">
      <c r="A16" s="187"/>
      <c r="B16" s="87" t="s">
        <v>353</v>
      </c>
      <c r="C16" s="71">
        <v>52.5</v>
      </c>
    </row>
    <row r="17" spans="1:3" ht="15" customHeight="1" thickBot="1" x14ac:dyDescent="0.25">
      <c r="A17" s="187"/>
      <c r="B17" s="88" t="s">
        <v>355</v>
      </c>
      <c r="C17" s="74">
        <v>94.5</v>
      </c>
    </row>
    <row r="18" spans="1:3" ht="15" customHeight="1" thickBot="1" x14ac:dyDescent="0.25">
      <c r="A18" s="187"/>
      <c r="B18" s="87" t="s">
        <v>356</v>
      </c>
      <c r="C18" s="71">
        <v>71.400000000000006</v>
      </c>
    </row>
    <row r="19" spans="1:3" ht="15" customHeight="1" thickBot="1" x14ac:dyDescent="0.25">
      <c r="A19" s="187"/>
      <c r="B19" s="88" t="s">
        <v>357</v>
      </c>
      <c r="C19" s="74">
        <v>102.4</v>
      </c>
    </row>
    <row r="20" spans="1:3" ht="15" customHeight="1" thickBot="1" x14ac:dyDescent="0.25">
      <c r="A20" s="187"/>
      <c r="B20" s="88" t="s">
        <v>391</v>
      </c>
      <c r="C20" s="74">
        <v>102.4</v>
      </c>
    </row>
    <row r="21" spans="1:3" ht="15" customHeight="1" thickBot="1" x14ac:dyDescent="0.25">
      <c r="A21" s="187"/>
      <c r="B21" s="87" t="s">
        <v>359</v>
      </c>
      <c r="C21" s="71">
        <v>159</v>
      </c>
    </row>
    <row r="22" spans="1:3" ht="15" customHeight="1" thickBot="1" x14ac:dyDescent="0.25">
      <c r="A22" s="187"/>
      <c r="B22" s="88" t="s">
        <v>360</v>
      </c>
      <c r="C22" s="74">
        <v>39</v>
      </c>
    </row>
    <row r="23" spans="1:3" ht="15" customHeight="1" thickBot="1" x14ac:dyDescent="0.25">
      <c r="A23" s="187"/>
      <c r="B23" s="87" t="s">
        <v>368</v>
      </c>
      <c r="C23" s="71">
        <v>98.7</v>
      </c>
    </row>
    <row r="24" spans="1:3" ht="15" customHeight="1" thickBot="1" x14ac:dyDescent="0.25">
      <c r="A24" s="187"/>
      <c r="B24" s="88" t="s">
        <v>369</v>
      </c>
      <c r="C24" s="74">
        <v>270</v>
      </c>
    </row>
    <row r="25" spans="1:3" ht="15" customHeight="1" thickBot="1" x14ac:dyDescent="0.25">
      <c r="A25" s="187"/>
      <c r="B25" s="87" t="s">
        <v>373</v>
      </c>
      <c r="C25" s="71">
        <v>130.80000000000001</v>
      </c>
    </row>
    <row r="26" spans="1:3" ht="15" customHeight="1" thickBot="1" x14ac:dyDescent="0.25">
      <c r="A26" s="187"/>
      <c r="B26" s="88" t="s">
        <v>377</v>
      </c>
      <c r="C26" s="74">
        <v>46</v>
      </c>
    </row>
    <row r="27" spans="1:3" ht="15" customHeight="1" thickBot="1" x14ac:dyDescent="0.25">
      <c r="A27" s="187"/>
      <c r="B27" s="87" t="s">
        <v>378</v>
      </c>
      <c r="C27" s="71">
        <v>66</v>
      </c>
    </row>
    <row r="28" spans="1:3" ht="15" customHeight="1" thickBot="1" x14ac:dyDescent="0.25">
      <c r="A28" s="187"/>
      <c r="B28" s="88" t="s">
        <v>379</v>
      </c>
      <c r="C28" s="74">
        <v>80.5</v>
      </c>
    </row>
    <row r="29" spans="1:3" ht="15" customHeight="1" thickBot="1" x14ac:dyDescent="0.25">
      <c r="A29" s="187"/>
      <c r="B29" s="87" t="s">
        <v>380</v>
      </c>
      <c r="C29" s="71">
        <v>70</v>
      </c>
    </row>
    <row r="30" spans="1:3" ht="15" customHeight="1" thickBot="1" x14ac:dyDescent="0.25">
      <c r="A30" s="187"/>
      <c r="B30" s="88" t="s">
        <v>383</v>
      </c>
      <c r="C30" s="74">
        <v>34.5</v>
      </c>
    </row>
    <row r="31" spans="1:3" ht="15" customHeight="1" thickBot="1" x14ac:dyDescent="0.25">
      <c r="A31" s="188"/>
      <c r="B31" s="87" t="s">
        <v>387</v>
      </c>
      <c r="C31" s="71">
        <v>90.75</v>
      </c>
    </row>
    <row r="32" spans="1:3" ht="15" customHeight="1" thickBot="1" x14ac:dyDescent="0.25">
      <c r="A32" s="186" t="s">
        <v>347</v>
      </c>
      <c r="B32" s="88" t="s">
        <v>346</v>
      </c>
      <c r="C32" s="74">
        <v>50</v>
      </c>
    </row>
    <row r="33" spans="1:3" ht="15" customHeight="1" thickBot="1" x14ac:dyDescent="0.25">
      <c r="A33" s="187"/>
      <c r="B33" s="87" t="s">
        <v>361</v>
      </c>
      <c r="C33" s="71">
        <v>20.7</v>
      </c>
    </row>
    <row r="34" spans="1:3" ht="15" customHeight="1" thickBot="1" x14ac:dyDescent="0.25">
      <c r="A34" s="187"/>
      <c r="B34" s="88" t="s">
        <v>365</v>
      </c>
      <c r="C34" s="74">
        <v>73.5</v>
      </c>
    </row>
    <row r="35" spans="1:3" ht="15" customHeight="1" thickBot="1" x14ac:dyDescent="0.25">
      <c r="A35" s="187"/>
      <c r="B35" s="87" t="s">
        <v>366</v>
      </c>
      <c r="C35" s="71">
        <v>57.6</v>
      </c>
    </row>
    <row r="36" spans="1:3" ht="15" customHeight="1" thickBot="1" x14ac:dyDescent="0.25">
      <c r="A36" s="187"/>
      <c r="B36" s="88" t="s">
        <v>370</v>
      </c>
      <c r="C36" s="74">
        <v>63</v>
      </c>
    </row>
    <row r="37" spans="1:3" ht="15" customHeight="1" thickBot="1" x14ac:dyDescent="0.25">
      <c r="A37" s="187"/>
      <c r="B37" s="87" t="s">
        <v>374</v>
      </c>
      <c r="C37" s="71">
        <v>0.505</v>
      </c>
    </row>
    <row r="38" spans="1:3" ht="15" customHeight="1" thickBot="1" x14ac:dyDescent="0.25">
      <c r="A38" s="188"/>
      <c r="B38" s="88" t="s">
        <v>384</v>
      </c>
      <c r="C38" s="74">
        <v>0.5</v>
      </c>
    </row>
    <row r="39" spans="1:3" ht="15" customHeight="1" thickBot="1" x14ac:dyDescent="0.25">
      <c r="A39" s="186" t="s">
        <v>382</v>
      </c>
      <c r="B39" s="87" t="s">
        <v>381</v>
      </c>
      <c r="C39" s="71">
        <v>3.09</v>
      </c>
    </row>
    <row r="40" spans="1:3" ht="15" customHeight="1" thickBot="1" x14ac:dyDescent="0.25">
      <c r="A40" s="187"/>
      <c r="B40" s="88" t="s">
        <v>388</v>
      </c>
      <c r="C40" s="74">
        <v>4.0999999999999996</v>
      </c>
    </row>
    <row r="41" spans="1:3" ht="15" customHeight="1" thickBot="1" x14ac:dyDescent="0.25">
      <c r="A41" s="188"/>
      <c r="B41" s="87" t="s">
        <v>389</v>
      </c>
      <c r="C41" s="71">
        <v>4.0999999999999996</v>
      </c>
    </row>
    <row r="42" spans="1:3" ht="15" customHeight="1" thickBot="1" x14ac:dyDescent="0.25">
      <c r="A42" s="133" t="s">
        <v>376</v>
      </c>
      <c r="B42" s="88" t="s">
        <v>375</v>
      </c>
      <c r="C42" s="74">
        <v>10</v>
      </c>
    </row>
    <row r="43" spans="1:3" ht="15" customHeight="1" x14ac:dyDescent="0.2">
      <c r="A43" s="134" t="s">
        <v>386</v>
      </c>
      <c r="B43" s="127" t="s">
        <v>385</v>
      </c>
      <c r="C43" s="81">
        <v>2.5</v>
      </c>
    </row>
    <row r="44" spans="1:3" ht="15" customHeight="1" x14ac:dyDescent="0.2">
      <c r="A44" s="135" t="s">
        <v>494</v>
      </c>
      <c r="B44" s="66"/>
    </row>
  </sheetData>
  <mergeCells count="4">
    <mergeCell ref="A5:A13"/>
    <mergeCell ref="A14:A31"/>
    <mergeCell ref="A32:A38"/>
    <mergeCell ref="A39:A41"/>
  </mergeCells>
  <hyperlinks>
    <hyperlink ref="B10" location="_ftn1" display="_ftn1"/>
    <hyperlink ref="A44" location="_ftnref1" display="_ftnref1"/>
    <hyperlink ref="A1" location="Index!A1" display="Back to Index tab"/>
  </hyperlinks>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ustomHeight="1" x14ac:dyDescent="0.2"/>
  <cols>
    <col min="1" max="1" width="49.125" style="126" bestFit="1" customWidth="1"/>
    <col min="2" max="2" width="17.625" style="36" customWidth="1"/>
    <col min="3" max="5" width="9" style="36" customWidth="1"/>
    <col min="6" max="8" width="9" style="37" customWidth="1"/>
    <col min="9" max="16384" width="9" style="37"/>
  </cols>
  <sheetData>
    <row r="1" spans="1:7" ht="15" customHeight="1" x14ac:dyDescent="0.2">
      <c r="A1" s="101" t="s">
        <v>487</v>
      </c>
    </row>
    <row r="3" spans="1:7" ht="15" customHeight="1" x14ac:dyDescent="0.2">
      <c r="A3" s="1" t="s">
        <v>534</v>
      </c>
      <c r="B3" s="1"/>
      <c r="C3" s="1"/>
      <c r="D3" s="1"/>
      <c r="E3" s="1"/>
      <c r="F3" s="1"/>
      <c r="G3" s="1"/>
    </row>
    <row r="4" spans="1:7" ht="15" customHeight="1" thickBot="1" x14ac:dyDescent="0.25">
      <c r="A4" s="192" t="s">
        <v>27</v>
      </c>
      <c r="B4" s="196" t="s">
        <v>250</v>
      </c>
      <c r="C4" s="197"/>
    </row>
    <row r="5" spans="1:7" ht="15" customHeight="1" thickBot="1" x14ac:dyDescent="0.25">
      <c r="A5" s="193"/>
      <c r="B5" s="34" t="s">
        <v>19</v>
      </c>
      <c r="C5" s="35" t="s">
        <v>196</v>
      </c>
    </row>
    <row r="6" spans="1:7" ht="15" customHeight="1" thickBot="1" x14ac:dyDescent="0.25">
      <c r="A6" s="32" t="s">
        <v>319</v>
      </c>
      <c r="B6" s="70">
        <v>85</v>
      </c>
      <c r="C6" s="71">
        <v>85</v>
      </c>
    </row>
    <row r="7" spans="1:7" ht="15" customHeight="1" thickBot="1" x14ac:dyDescent="0.25">
      <c r="A7" s="32" t="s">
        <v>322</v>
      </c>
      <c r="B7" s="73">
        <v>90</v>
      </c>
      <c r="C7" s="74">
        <v>89</v>
      </c>
    </row>
    <row r="8" spans="1:7" ht="15" customHeight="1" thickBot="1" x14ac:dyDescent="0.25">
      <c r="A8" s="32" t="s">
        <v>321</v>
      </c>
      <c r="B8" s="70">
        <v>96</v>
      </c>
      <c r="C8" s="71">
        <v>96</v>
      </c>
    </row>
    <row r="9" spans="1:7" ht="15" customHeight="1" thickBot="1" x14ac:dyDescent="0.25">
      <c r="A9" s="32" t="s">
        <v>474</v>
      </c>
      <c r="B9" s="73">
        <v>97</v>
      </c>
      <c r="C9" s="74">
        <v>83</v>
      </c>
    </row>
    <row r="10" spans="1:7" ht="15" customHeight="1" thickBot="1" x14ac:dyDescent="0.25">
      <c r="A10" s="32" t="s">
        <v>320</v>
      </c>
      <c r="B10" s="70">
        <v>98</v>
      </c>
      <c r="C10" s="71">
        <v>98</v>
      </c>
    </row>
    <row r="11" spans="1:7" ht="15" customHeight="1" thickBot="1" x14ac:dyDescent="0.25">
      <c r="A11" s="32" t="s">
        <v>318</v>
      </c>
      <c r="B11" s="73">
        <v>121</v>
      </c>
      <c r="C11" s="74">
        <v>119</v>
      </c>
    </row>
    <row r="12" spans="1:7" ht="15" customHeight="1" thickBot="1" x14ac:dyDescent="0.25">
      <c r="A12" s="32" t="s">
        <v>475</v>
      </c>
      <c r="B12" s="70">
        <v>122</v>
      </c>
      <c r="C12" s="71">
        <v>120</v>
      </c>
    </row>
    <row r="13" spans="1:7" ht="15" customHeight="1" thickBot="1" x14ac:dyDescent="0.25">
      <c r="A13" s="32" t="s">
        <v>476</v>
      </c>
      <c r="B13" s="73">
        <v>137</v>
      </c>
      <c r="C13" s="74">
        <v>137</v>
      </c>
    </row>
    <row r="14" spans="1:7" ht="15" customHeight="1" thickBot="1" x14ac:dyDescent="0.25">
      <c r="A14" s="32" t="s">
        <v>477</v>
      </c>
      <c r="B14" s="70">
        <v>238</v>
      </c>
      <c r="C14" s="71">
        <v>215</v>
      </c>
    </row>
    <row r="15" spans="1:7" ht="15" customHeight="1" thickBot="1" x14ac:dyDescent="0.25">
      <c r="A15" s="32" t="s">
        <v>478</v>
      </c>
      <c r="B15" s="76"/>
      <c r="C15" s="74">
        <v>99</v>
      </c>
    </row>
    <row r="16" spans="1:7" ht="15" customHeight="1" thickBot="1" x14ac:dyDescent="0.25">
      <c r="A16" s="32" t="s">
        <v>479</v>
      </c>
      <c r="B16" s="76"/>
      <c r="C16" s="71">
        <v>118</v>
      </c>
    </row>
    <row r="17" spans="1:3" ht="15" customHeight="1" thickBot="1" x14ac:dyDescent="0.25">
      <c r="A17" s="32" t="s">
        <v>480</v>
      </c>
      <c r="B17" s="76"/>
      <c r="C17" s="74">
        <v>188</v>
      </c>
    </row>
    <row r="18" spans="1:3" ht="15" customHeight="1" x14ac:dyDescent="0.2">
      <c r="A18" s="31" t="s">
        <v>481</v>
      </c>
      <c r="B18" s="90"/>
      <c r="C18" s="81">
        <v>202</v>
      </c>
    </row>
  </sheetData>
  <mergeCells count="2">
    <mergeCell ref="A4:A5"/>
    <mergeCell ref="B4:C4"/>
  </mergeCells>
  <hyperlinks>
    <hyperlink ref="A1" location="Index!A1" display="Back to Index tab"/>
  </hyperlink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showGridLines="0" zoomScaleNormal="100" workbookViewId="0"/>
  </sheetViews>
  <sheetFormatPr defaultRowHeight="15" customHeight="1" x14ac:dyDescent="0.2"/>
  <cols>
    <col min="1" max="1" width="12.5" style="118" customWidth="1"/>
    <col min="2" max="2" width="10" style="118" bestFit="1" customWidth="1"/>
    <col min="3" max="3" width="10.5" style="118" bestFit="1" customWidth="1"/>
    <col min="4" max="7" width="9" style="119"/>
    <col min="8" max="16384" width="9" style="118"/>
  </cols>
  <sheetData>
    <row r="1" spans="1:8" ht="15" customHeight="1" x14ac:dyDescent="0.2">
      <c r="A1" s="101" t="s">
        <v>487</v>
      </c>
    </row>
    <row r="3" spans="1:8" ht="15" customHeight="1" x14ac:dyDescent="0.2">
      <c r="A3" s="113" t="s">
        <v>397</v>
      </c>
    </row>
    <row r="4" spans="1:8" ht="15" customHeight="1" x14ac:dyDescent="0.2">
      <c r="A4" s="120"/>
      <c r="B4" s="120"/>
      <c r="C4" s="120"/>
      <c r="D4" s="120"/>
      <c r="E4" s="120"/>
      <c r="F4" s="120"/>
      <c r="G4" s="120"/>
      <c r="H4" s="120"/>
    </row>
    <row r="5" spans="1:8" ht="15" customHeight="1" x14ac:dyDescent="0.2">
      <c r="A5" s="120"/>
      <c r="B5" s="120"/>
      <c r="C5" s="120"/>
      <c r="D5" s="120"/>
      <c r="E5" s="120"/>
      <c r="F5" s="120"/>
      <c r="G5" s="120"/>
      <c r="H5" s="120"/>
    </row>
    <row r="6" spans="1:8" ht="15" customHeight="1" x14ac:dyDescent="0.2">
      <c r="A6" s="120"/>
      <c r="B6" s="120"/>
      <c r="C6" s="120"/>
      <c r="D6" s="120"/>
      <c r="E6" s="120"/>
      <c r="F6" s="120"/>
      <c r="G6" s="120"/>
      <c r="H6" s="120"/>
    </row>
    <row r="7" spans="1:8" ht="15" customHeight="1" x14ac:dyDescent="0.2">
      <c r="A7" s="120"/>
      <c r="B7" s="120"/>
      <c r="C7" s="120"/>
      <c r="D7" s="120"/>
      <c r="E7" s="120"/>
      <c r="F7" s="120"/>
      <c r="G7" s="120"/>
      <c r="H7" s="120"/>
    </row>
    <row r="8" spans="1:8" ht="15" customHeight="1" x14ac:dyDescent="0.2">
      <c r="A8" s="120"/>
      <c r="B8" s="120"/>
      <c r="C8" s="120"/>
      <c r="D8" s="120"/>
      <c r="E8" s="120"/>
      <c r="F8" s="120"/>
      <c r="G8" s="120"/>
      <c r="H8" s="120"/>
    </row>
    <row r="9" spans="1:8" ht="15" customHeight="1" x14ac:dyDescent="0.2">
      <c r="A9" s="120"/>
      <c r="B9" s="120"/>
      <c r="C9" s="120"/>
      <c r="D9" s="120"/>
      <c r="E9" s="120"/>
      <c r="F9" s="120"/>
      <c r="G9" s="120"/>
      <c r="H9" s="120"/>
    </row>
    <row r="10" spans="1:8" ht="15" customHeight="1" x14ac:dyDescent="0.2">
      <c r="A10" s="120"/>
      <c r="B10" s="120"/>
      <c r="C10" s="120"/>
      <c r="D10" s="120"/>
      <c r="E10" s="120"/>
      <c r="F10" s="120"/>
      <c r="G10" s="120"/>
      <c r="H10" s="120"/>
    </row>
    <row r="11" spans="1:8" ht="15" customHeight="1" x14ac:dyDescent="0.2">
      <c r="A11" s="120"/>
      <c r="B11" s="120"/>
      <c r="C11" s="120"/>
      <c r="D11" s="120"/>
      <c r="E11" s="120"/>
      <c r="F11" s="120"/>
      <c r="G11" s="120"/>
      <c r="H11" s="120"/>
    </row>
    <row r="12" spans="1:8" ht="15" customHeight="1" x14ac:dyDescent="0.2">
      <c r="A12" s="120"/>
      <c r="B12" s="120"/>
      <c r="C12" s="120"/>
      <c r="D12" s="120"/>
      <c r="E12" s="120"/>
      <c r="F12" s="120"/>
      <c r="G12" s="120"/>
      <c r="H12" s="120"/>
    </row>
    <row r="13" spans="1:8" ht="15" customHeight="1" x14ac:dyDescent="0.2">
      <c r="A13" s="120"/>
      <c r="B13" s="120"/>
      <c r="C13" s="120"/>
      <c r="D13" s="120"/>
      <c r="E13" s="120"/>
      <c r="F13" s="120"/>
      <c r="G13" s="120"/>
      <c r="H13" s="120"/>
    </row>
    <row r="14" spans="1:8" ht="15" customHeight="1" x14ac:dyDescent="0.2">
      <c r="A14" s="120"/>
      <c r="B14" s="120"/>
      <c r="C14" s="120"/>
      <c r="D14" s="120"/>
      <c r="E14" s="120"/>
      <c r="F14" s="120"/>
      <c r="G14" s="120"/>
      <c r="H14" s="120"/>
    </row>
    <row r="15" spans="1:8" ht="15" customHeight="1" x14ac:dyDescent="0.2">
      <c r="A15" s="120"/>
      <c r="B15" s="120"/>
      <c r="C15" s="120"/>
      <c r="D15" s="120"/>
      <c r="E15" s="120"/>
      <c r="F15" s="120"/>
      <c r="G15" s="120"/>
      <c r="H15" s="120"/>
    </row>
    <row r="16" spans="1:8" ht="15" customHeight="1" x14ac:dyDescent="0.2">
      <c r="A16" s="120"/>
      <c r="B16" s="120"/>
      <c r="C16" s="120"/>
      <c r="D16" s="120"/>
      <c r="E16" s="120"/>
      <c r="F16" s="120"/>
      <c r="G16" s="120"/>
      <c r="H16" s="120"/>
    </row>
    <row r="17" spans="1:19" ht="15" customHeight="1" x14ac:dyDescent="0.2">
      <c r="A17" s="120"/>
      <c r="B17" s="120"/>
      <c r="C17" s="120"/>
      <c r="D17" s="120"/>
      <c r="E17" s="120"/>
      <c r="F17" s="120"/>
      <c r="G17" s="120"/>
      <c r="H17" s="120"/>
    </row>
    <row r="18" spans="1:19" ht="15" customHeight="1" x14ac:dyDescent="0.2">
      <c r="A18" s="120"/>
      <c r="B18" s="120"/>
      <c r="C18" s="120"/>
      <c r="D18" s="120"/>
      <c r="E18" s="120"/>
      <c r="F18" s="120"/>
      <c r="G18" s="120"/>
      <c r="H18" s="120"/>
    </row>
    <row r="19" spans="1:19" ht="15" customHeight="1" x14ac:dyDescent="0.2">
      <c r="A19" s="120"/>
      <c r="B19" s="120"/>
      <c r="C19" s="120"/>
      <c r="D19" s="120"/>
      <c r="E19" s="120"/>
      <c r="F19" s="120"/>
      <c r="G19" s="120"/>
      <c r="H19" s="120"/>
    </row>
    <row r="20" spans="1:19" ht="15" customHeight="1" x14ac:dyDescent="0.2">
      <c r="A20" s="121" t="s">
        <v>492</v>
      </c>
    </row>
    <row r="21" spans="1:19" ht="15" customHeight="1" x14ac:dyDescent="0.2">
      <c r="A21" s="121" t="s">
        <v>18</v>
      </c>
    </row>
    <row r="23" spans="1:19" ht="15" customHeight="1" thickBot="1" x14ac:dyDescent="0.25">
      <c r="A23" s="114" t="s">
        <v>21</v>
      </c>
      <c r="B23" s="114" t="s">
        <v>22</v>
      </c>
      <c r="C23" s="115" t="s">
        <v>4</v>
      </c>
    </row>
    <row r="24" spans="1:19" ht="15" customHeight="1" thickBot="1" x14ac:dyDescent="0.25">
      <c r="A24" s="116" t="s">
        <v>23</v>
      </c>
      <c r="B24" s="137">
        <v>4538</v>
      </c>
      <c r="C24" s="137">
        <v>2668</v>
      </c>
      <c r="D24" s="122"/>
      <c r="E24" s="122"/>
      <c r="F24" s="122"/>
      <c r="H24" s="124"/>
      <c r="I24" s="124"/>
      <c r="K24" s="124"/>
      <c r="N24" s="124"/>
      <c r="Q24" s="123"/>
      <c r="R24" s="124"/>
    </row>
    <row r="25" spans="1:19" ht="15" customHeight="1" thickBot="1" x14ac:dyDescent="0.25">
      <c r="A25" s="116" t="s">
        <v>1</v>
      </c>
      <c r="B25" s="138">
        <v>4322</v>
      </c>
      <c r="C25" s="138">
        <v>1576</v>
      </c>
      <c r="D25" s="122"/>
      <c r="E25" s="122"/>
      <c r="F25" s="122"/>
      <c r="K25" s="124"/>
      <c r="N25" s="124"/>
      <c r="O25" s="124"/>
      <c r="Q25" s="123"/>
      <c r="R25" s="124"/>
      <c r="S25" s="124"/>
    </row>
    <row r="26" spans="1:19" ht="15" customHeight="1" thickBot="1" x14ac:dyDescent="0.25">
      <c r="A26" s="116" t="s">
        <v>2</v>
      </c>
      <c r="B26" s="137">
        <v>2601</v>
      </c>
      <c r="C26" s="137">
        <v>770</v>
      </c>
      <c r="D26" s="122"/>
      <c r="E26" s="122"/>
      <c r="F26" s="122"/>
      <c r="N26" s="124"/>
      <c r="Q26" s="123"/>
      <c r="R26" s="124"/>
    </row>
    <row r="27" spans="1:19" ht="15" customHeight="1" thickBot="1" x14ac:dyDescent="0.25">
      <c r="A27" s="116" t="s">
        <v>16</v>
      </c>
      <c r="B27" s="138">
        <v>938</v>
      </c>
      <c r="C27" s="138">
        <v>679</v>
      </c>
      <c r="D27" s="122"/>
      <c r="E27" s="122"/>
      <c r="F27" s="122"/>
      <c r="G27" s="122"/>
      <c r="H27" s="124"/>
      <c r="I27" s="124"/>
    </row>
    <row r="28" spans="1:19" ht="15" customHeight="1" thickBot="1" x14ac:dyDescent="0.25">
      <c r="A28" s="116" t="s">
        <v>17</v>
      </c>
      <c r="B28" s="137">
        <v>60</v>
      </c>
      <c r="C28" s="137">
        <v>289</v>
      </c>
      <c r="D28" s="125"/>
      <c r="E28" s="122"/>
      <c r="F28" s="122"/>
    </row>
    <row r="29" spans="1:19" ht="30" customHeight="1" thickBot="1" x14ac:dyDescent="0.25">
      <c r="A29" s="116" t="s">
        <v>26</v>
      </c>
      <c r="B29" s="138">
        <v>1941</v>
      </c>
      <c r="C29" s="139">
        <v>680</v>
      </c>
      <c r="D29" s="122"/>
      <c r="E29" s="122"/>
    </row>
  </sheetData>
  <hyperlinks>
    <hyperlink ref="A1" location="Index!A1" display="Back to Index tab"/>
  </hyperlinks>
  <pageMargins left="0.7" right="0.7" top="0.75" bottom="0.75" header="0.3" footer="0.3"/>
  <pageSetup paperSize="9" orientation="portrait" verticalDpi="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zoomScaleNormal="100" workbookViewId="0"/>
  </sheetViews>
  <sheetFormatPr defaultRowHeight="15" customHeight="1" x14ac:dyDescent="0.2"/>
  <cols>
    <col min="1" max="1" width="12.5" style="118" customWidth="1"/>
    <col min="2" max="2" width="10" style="118" bestFit="1" customWidth="1"/>
    <col min="3" max="3" width="10.5" style="118" bestFit="1" customWidth="1"/>
    <col min="4" max="7" width="9" style="119"/>
    <col min="8" max="16384" width="9" style="118"/>
  </cols>
  <sheetData>
    <row r="1" spans="1:8" ht="15" customHeight="1" x14ac:dyDescent="0.2">
      <c r="A1" s="101" t="s">
        <v>487</v>
      </c>
    </row>
    <row r="3" spans="1:8" ht="15" customHeight="1" x14ac:dyDescent="0.2">
      <c r="A3" s="113" t="s">
        <v>400</v>
      </c>
    </row>
    <row r="4" spans="1:8" ht="15" customHeight="1" x14ac:dyDescent="0.2">
      <c r="A4" s="120"/>
      <c r="B4" s="120"/>
      <c r="C4" s="120"/>
      <c r="D4" s="120"/>
      <c r="E4" s="120"/>
      <c r="F4" s="120"/>
      <c r="G4" s="120"/>
      <c r="H4" s="120"/>
    </row>
    <row r="5" spans="1:8" ht="15" customHeight="1" x14ac:dyDescent="0.2">
      <c r="A5" s="120"/>
      <c r="B5" s="120"/>
      <c r="C5" s="120"/>
      <c r="D5" s="120"/>
      <c r="E5" s="120"/>
      <c r="F5" s="120"/>
      <c r="G5" s="120"/>
      <c r="H5" s="120"/>
    </row>
    <row r="6" spans="1:8" ht="15" customHeight="1" x14ac:dyDescent="0.2">
      <c r="A6" s="120"/>
      <c r="B6" s="120"/>
      <c r="C6" s="120"/>
      <c r="D6" s="120"/>
      <c r="E6" s="120"/>
      <c r="F6" s="120"/>
      <c r="G6" s="120"/>
      <c r="H6" s="120"/>
    </row>
    <row r="7" spans="1:8" ht="15" customHeight="1" x14ac:dyDescent="0.2">
      <c r="A7" s="120"/>
      <c r="B7" s="120"/>
      <c r="C7" s="120"/>
      <c r="D7" s="120"/>
      <c r="E7" s="120"/>
      <c r="F7" s="120"/>
      <c r="G7" s="120"/>
      <c r="H7" s="120"/>
    </row>
    <row r="8" spans="1:8" ht="15" customHeight="1" x14ac:dyDescent="0.2">
      <c r="A8" s="120"/>
      <c r="B8" s="120"/>
      <c r="C8" s="120"/>
      <c r="D8" s="120"/>
      <c r="E8" s="120"/>
      <c r="F8" s="120"/>
      <c r="G8" s="120"/>
      <c r="H8" s="120"/>
    </row>
    <row r="9" spans="1:8" ht="15" customHeight="1" x14ac:dyDescent="0.2">
      <c r="A9" s="120"/>
      <c r="B9" s="120"/>
      <c r="C9" s="120"/>
      <c r="D9" s="120"/>
      <c r="E9" s="120"/>
      <c r="F9" s="120"/>
      <c r="G9" s="120"/>
      <c r="H9" s="120"/>
    </row>
    <row r="10" spans="1:8" ht="15" customHeight="1" x14ac:dyDescent="0.2">
      <c r="A10" s="120"/>
      <c r="B10" s="120"/>
      <c r="C10" s="120"/>
      <c r="D10" s="120"/>
      <c r="E10" s="120"/>
      <c r="F10" s="120"/>
      <c r="G10" s="120"/>
      <c r="H10" s="120"/>
    </row>
    <row r="11" spans="1:8" ht="15" customHeight="1" x14ac:dyDescent="0.2">
      <c r="A11" s="120"/>
      <c r="B11" s="120"/>
      <c r="C11" s="120"/>
      <c r="D11" s="120"/>
      <c r="E11" s="120"/>
      <c r="F11" s="120"/>
      <c r="G11" s="120"/>
      <c r="H11" s="120"/>
    </row>
    <row r="12" spans="1:8" ht="15" customHeight="1" x14ac:dyDescent="0.2">
      <c r="A12" s="120"/>
      <c r="B12" s="120"/>
      <c r="C12" s="120"/>
      <c r="D12" s="120"/>
      <c r="E12" s="120"/>
      <c r="F12" s="120"/>
      <c r="G12" s="120"/>
      <c r="H12" s="120"/>
    </row>
    <row r="13" spans="1:8" ht="15" customHeight="1" x14ac:dyDescent="0.2">
      <c r="A13" s="120"/>
      <c r="B13" s="120"/>
      <c r="C13" s="120"/>
      <c r="D13" s="120"/>
      <c r="E13" s="120"/>
      <c r="F13" s="120"/>
      <c r="G13" s="120"/>
      <c r="H13" s="120"/>
    </row>
    <row r="14" spans="1:8" ht="15" customHeight="1" x14ac:dyDescent="0.2">
      <c r="A14" s="120"/>
      <c r="B14" s="120"/>
      <c r="C14" s="120"/>
      <c r="D14" s="120"/>
      <c r="E14" s="120"/>
      <c r="F14" s="120"/>
      <c r="G14" s="120"/>
      <c r="H14" s="120"/>
    </row>
    <row r="15" spans="1:8" ht="15" customHeight="1" x14ac:dyDescent="0.2">
      <c r="A15" s="120"/>
      <c r="B15" s="120"/>
      <c r="C15" s="120"/>
      <c r="D15" s="120"/>
      <c r="E15" s="120"/>
      <c r="F15" s="120"/>
      <c r="G15" s="120"/>
      <c r="H15" s="120"/>
    </row>
    <row r="16" spans="1:8" ht="15" customHeight="1" x14ac:dyDescent="0.2">
      <c r="A16" s="120"/>
      <c r="B16" s="120"/>
      <c r="C16" s="120"/>
      <c r="D16" s="120"/>
      <c r="E16" s="120"/>
      <c r="F16" s="120"/>
      <c r="G16" s="120"/>
      <c r="H16" s="120"/>
    </row>
    <row r="17" spans="1:14" ht="15" customHeight="1" x14ac:dyDescent="0.2">
      <c r="A17" s="120"/>
      <c r="B17" s="120"/>
      <c r="C17" s="120"/>
      <c r="D17" s="120"/>
      <c r="E17" s="120"/>
      <c r="F17" s="120"/>
      <c r="G17" s="120"/>
      <c r="H17" s="120"/>
    </row>
    <row r="18" spans="1:14" ht="15" customHeight="1" x14ac:dyDescent="0.2">
      <c r="A18" s="120"/>
      <c r="B18" s="120"/>
      <c r="C18" s="120"/>
      <c r="D18" s="120"/>
      <c r="E18" s="120"/>
      <c r="F18" s="120"/>
      <c r="G18" s="120"/>
      <c r="H18" s="120"/>
    </row>
    <row r="19" spans="1:14" ht="15" customHeight="1" x14ac:dyDescent="0.2">
      <c r="A19" s="120"/>
      <c r="B19" s="120"/>
      <c r="C19" s="120"/>
      <c r="D19" s="120"/>
      <c r="E19" s="120"/>
      <c r="F19" s="120"/>
      <c r="G19" s="120"/>
      <c r="H19" s="120"/>
    </row>
    <row r="20" spans="1:14" ht="15" customHeight="1" x14ac:dyDescent="0.2">
      <c r="A20" s="121" t="s">
        <v>25</v>
      </c>
    </row>
    <row r="21" spans="1:14" ht="15" customHeight="1" x14ac:dyDescent="0.2">
      <c r="A21" s="121" t="s">
        <v>18</v>
      </c>
    </row>
    <row r="23" spans="1:14" ht="15" customHeight="1" thickBot="1" x14ac:dyDescent="0.25">
      <c r="A23" s="114" t="s">
        <v>21</v>
      </c>
      <c r="B23" s="114" t="s">
        <v>22</v>
      </c>
      <c r="C23" s="115" t="s">
        <v>4</v>
      </c>
    </row>
    <row r="24" spans="1:14" ht="15" customHeight="1" thickBot="1" x14ac:dyDescent="0.25">
      <c r="A24" s="116" t="s">
        <v>23</v>
      </c>
      <c r="B24" s="137">
        <v>2374.393</v>
      </c>
      <c r="C24" s="137">
        <v>2668</v>
      </c>
      <c r="D24" s="122"/>
      <c r="E24" s="122"/>
      <c r="F24" s="122"/>
      <c r="H24" s="123"/>
      <c r="I24" s="124"/>
      <c r="K24" s="124"/>
    </row>
    <row r="25" spans="1:14" ht="15" customHeight="1" thickBot="1" x14ac:dyDescent="0.25">
      <c r="A25" s="116" t="s">
        <v>1</v>
      </c>
      <c r="B25" s="138">
        <v>2415.9060000000004</v>
      </c>
      <c r="C25" s="138">
        <v>1594.85</v>
      </c>
      <c r="D25" s="122"/>
      <c r="E25" s="122"/>
      <c r="F25" s="122"/>
      <c r="H25" s="123"/>
      <c r="I25" s="124"/>
      <c r="K25" s="124"/>
      <c r="N25" s="123"/>
    </row>
    <row r="26" spans="1:14" ht="15" customHeight="1" thickBot="1" x14ac:dyDescent="0.25">
      <c r="A26" s="116" t="s">
        <v>2</v>
      </c>
      <c r="B26" s="137">
        <v>0</v>
      </c>
      <c r="C26" s="137">
        <v>0</v>
      </c>
      <c r="D26" s="122"/>
      <c r="E26" s="122"/>
      <c r="F26" s="122"/>
      <c r="H26" s="123"/>
    </row>
    <row r="27" spans="1:14" ht="15" customHeight="1" thickBot="1" x14ac:dyDescent="0.25">
      <c r="A27" s="116" t="s">
        <v>16</v>
      </c>
      <c r="B27" s="138">
        <v>503.46600000000001</v>
      </c>
      <c r="C27" s="138">
        <v>701.87801024999999</v>
      </c>
      <c r="D27" s="122"/>
      <c r="E27" s="122"/>
      <c r="F27" s="122"/>
      <c r="H27" s="124"/>
      <c r="I27" s="124"/>
    </row>
    <row r="28" spans="1:14" ht="15" customHeight="1" thickBot="1" x14ac:dyDescent="0.25">
      <c r="A28" s="116" t="s">
        <v>17</v>
      </c>
      <c r="B28" s="137">
        <v>56.376524000000003</v>
      </c>
      <c r="C28" s="137">
        <v>319.38500000000005</v>
      </c>
      <c r="D28" s="125"/>
      <c r="E28" s="122"/>
      <c r="F28" s="125"/>
    </row>
    <row r="29" spans="1:14" ht="30" customHeight="1" thickBot="1" x14ac:dyDescent="0.25">
      <c r="A29" s="116" t="s">
        <v>26</v>
      </c>
      <c r="B29" s="138">
        <v>1479.779057</v>
      </c>
      <c r="C29" s="139">
        <v>820</v>
      </c>
      <c r="D29" s="122"/>
      <c r="E29" s="122"/>
      <c r="F29" s="122"/>
    </row>
  </sheetData>
  <hyperlinks>
    <hyperlink ref="A1" location="Index!A1" display="Back to Index tab"/>
  </hyperlinks>
  <pageMargins left="0.7" right="0.7" top="0.75" bottom="0.75" header="0.3" footer="0.3"/>
  <pageSetup paperSize="9" orientation="portrait" verticalDpi="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zoomScaleNormal="100" workbookViewId="0"/>
  </sheetViews>
  <sheetFormatPr defaultRowHeight="15" customHeight="1" x14ac:dyDescent="0.2"/>
  <cols>
    <col min="1" max="16384" width="9" style="2"/>
  </cols>
  <sheetData>
    <row r="1" spans="1:9" ht="15" customHeight="1" x14ac:dyDescent="0.2">
      <c r="A1" s="101" t="s">
        <v>487</v>
      </c>
    </row>
    <row r="3" spans="1:9" ht="12" x14ac:dyDescent="0.2">
      <c r="A3" s="113" t="s">
        <v>401</v>
      </c>
    </row>
    <row r="4" spans="1:9" ht="15" customHeight="1" x14ac:dyDescent="0.2">
      <c r="A4" s="112"/>
      <c r="B4" s="112"/>
      <c r="C4" s="112"/>
      <c r="D4" s="112"/>
      <c r="E4" s="112"/>
      <c r="F4" s="112"/>
      <c r="G4" s="112"/>
      <c r="H4" s="112"/>
      <c r="I4" s="112"/>
    </row>
    <row r="5" spans="1:9" ht="11.25" x14ac:dyDescent="0.2">
      <c r="A5" s="112"/>
      <c r="B5" s="112"/>
      <c r="C5" s="112"/>
      <c r="D5" s="112"/>
      <c r="E5" s="112"/>
      <c r="F5" s="112"/>
      <c r="G5" s="112"/>
      <c r="H5" s="112"/>
      <c r="I5" s="112"/>
    </row>
    <row r="6" spans="1:9" ht="15" customHeight="1" x14ac:dyDescent="0.2">
      <c r="A6" s="112"/>
      <c r="B6" s="112"/>
      <c r="C6" s="112"/>
      <c r="D6" s="112"/>
      <c r="E6" s="112"/>
      <c r="F6" s="112"/>
      <c r="G6" s="112"/>
      <c r="H6" s="112"/>
      <c r="I6" s="112"/>
    </row>
    <row r="7" spans="1:9" ht="15" customHeight="1" x14ac:dyDescent="0.2">
      <c r="A7" s="112"/>
      <c r="B7" s="112"/>
      <c r="C7" s="112"/>
      <c r="D7" s="112"/>
      <c r="E7" s="112"/>
      <c r="F7" s="112"/>
      <c r="G7" s="112"/>
      <c r="H7" s="112"/>
      <c r="I7" s="112"/>
    </row>
    <row r="8" spans="1:9" ht="15" customHeight="1" x14ac:dyDescent="0.2">
      <c r="A8" s="112"/>
      <c r="B8" s="112"/>
      <c r="C8" s="112"/>
      <c r="D8" s="112"/>
      <c r="E8" s="112"/>
      <c r="F8" s="112"/>
      <c r="G8" s="112"/>
      <c r="H8" s="112"/>
      <c r="I8" s="112"/>
    </row>
    <row r="9" spans="1:9" ht="15" customHeight="1" x14ac:dyDescent="0.2">
      <c r="A9" s="112"/>
      <c r="B9" s="112"/>
      <c r="C9" s="112"/>
      <c r="D9" s="112"/>
      <c r="E9" s="112"/>
      <c r="F9" s="112"/>
      <c r="G9" s="112"/>
      <c r="H9" s="112"/>
      <c r="I9" s="112"/>
    </row>
    <row r="10" spans="1:9" ht="15" customHeight="1" x14ac:dyDescent="0.2">
      <c r="A10" s="112"/>
      <c r="B10" s="112"/>
      <c r="C10" s="112"/>
      <c r="D10" s="112"/>
      <c r="E10" s="112"/>
      <c r="F10" s="112"/>
      <c r="G10" s="112"/>
      <c r="H10" s="112"/>
      <c r="I10" s="112"/>
    </row>
    <row r="11" spans="1:9" ht="15" customHeight="1" x14ac:dyDescent="0.2">
      <c r="A11" s="112"/>
      <c r="B11" s="112"/>
      <c r="C11" s="112"/>
      <c r="D11" s="112"/>
      <c r="E11" s="112"/>
      <c r="F11" s="112"/>
      <c r="G11" s="112"/>
      <c r="H11" s="112"/>
      <c r="I11" s="112"/>
    </row>
    <row r="12" spans="1:9" ht="15" customHeight="1" x14ac:dyDescent="0.2">
      <c r="A12" s="112"/>
      <c r="B12" s="112"/>
      <c r="C12" s="112"/>
      <c r="D12" s="112"/>
      <c r="E12" s="112"/>
      <c r="F12" s="112"/>
      <c r="G12" s="112"/>
      <c r="H12" s="112"/>
      <c r="I12" s="112"/>
    </row>
    <row r="13" spans="1:9" ht="15" customHeight="1" x14ac:dyDescent="0.2">
      <c r="A13" s="112"/>
      <c r="B13" s="112"/>
      <c r="C13" s="112"/>
      <c r="D13" s="112"/>
      <c r="E13" s="112"/>
      <c r="F13" s="112"/>
      <c r="G13" s="112"/>
      <c r="H13" s="112"/>
      <c r="I13" s="112"/>
    </row>
    <row r="14" spans="1:9" ht="15" customHeight="1" x14ac:dyDescent="0.2">
      <c r="A14" s="112"/>
      <c r="B14" s="112"/>
      <c r="C14" s="112"/>
      <c r="D14" s="112"/>
      <c r="E14" s="112"/>
      <c r="F14" s="112"/>
      <c r="G14" s="112"/>
      <c r="H14" s="112"/>
      <c r="I14" s="112"/>
    </row>
    <row r="15" spans="1:9" ht="15" customHeight="1" x14ac:dyDescent="0.2">
      <c r="A15" s="112"/>
      <c r="B15" s="112"/>
      <c r="C15" s="112"/>
      <c r="D15" s="112"/>
      <c r="E15" s="112"/>
      <c r="F15" s="112"/>
      <c r="G15" s="112"/>
      <c r="H15" s="112"/>
      <c r="I15" s="112"/>
    </row>
    <row r="16" spans="1:9" ht="15" customHeight="1" x14ac:dyDescent="0.2">
      <c r="A16" s="112"/>
      <c r="B16" s="112"/>
      <c r="C16" s="112"/>
      <c r="D16" s="112"/>
      <c r="E16" s="112"/>
      <c r="F16" s="112"/>
      <c r="G16" s="112"/>
      <c r="H16" s="112"/>
      <c r="I16" s="112"/>
    </row>
    <row r="17" spans="1:9" ht="15" customHeight="1" x14ac:dyDescent="0.2">
      <c r="A17" s="112"/>
      <c r="B17" s="112"/>
      <c r="C17" s="112"/>
      <c r="D17" s="112"/>
      <c r="E17" s="112"/>
      <c r="F17" s="112"/>
      <c r="G17" s="112"/>
      <c r="H17" s="112"/>
      <c r="I17" s="112"/>
    </row>
    <row r="18" spans="1:9" ht="15" customHeight="1" x14ac:dyDescent="0.2">
      <c r="A18" s="112"/>
      <c r="B18" s="112"/>
      <c r="C18" s="112"/>
      <c r="D18" s="112"/>
      <c r="E18" s="112"/>
      <c r="F18" s="112"/>
      <c r="G18" s="112"/>
      <c r="H18" s="112"/>
      <c r="I18" s="112"/>
    </row>
    <row r="19" spans="1:9" ht="15" customHeight="1" x14ac:dyDescent="0.2">
      <c r="A19" s="112"/>
      <c r="B19" s="112"/>
      <c r="C19" s="112"/>
      <c r="D19" s="112"/>
      <c r="E19" s="112"/>
      <c r="F19" s="112"/>
      <c r="G19" s="112"/>
      <c r="H19" s="112"/>
      <c r="I19" s="112"/>
    </row>
    <row r="21" spans="1:9" ht="34.5" customHeight="1" thickBot="1" x14ac:dyDescent="0.25">
      <c r="C21" s="114" t="s">
        <v>392</v>
      </c>
      <c r="D21" s="114" t="s">
        <v>393</v>
      </c>
    </row>
    <row r="22" spans="1:9" ht="15" customHeight="1" thickBot="1" x14ac:dyDescent="0.25">
      <c r="A22" s="114" t="s">
        <v>10</v>
      </c>
      <c r="B22" s="116" t="s">
        <v>103</v>
      </c>
      <c r="C22" s="137">
        <v>44</v>
      </c>
      <c r="D22" s="137">
        <v>0</v>
      </c>
    </row>
    <row r="23" spans="1:9" ht="15" customHeight="1" thickBot="1" x14ac:dyDescent="0.25">
      <c r="B23" s="116" t="s">
        <v>115</v>
      </c>
      <c r="C23" s="138">
        <v>317.7</v>
      </c>
      <c r="D23" s="138">
        <v>0</v>
      </c>
    </row>
    <row r="24" spans="1:9" ht="15" customHeight="1" thickBot="1" x14ac:dyDescent="0.25">
      <c r="B24" s="116" t="s">
        <v>107</v>
      </c>
      <c r="C24" s="137">
        <v>126.39999999999999</v>
      </c>
      <c r="D24" s="137">
        <v>0</v>
      </c>
    </row>
    <row r="25" spans="1:9" ht="15" customHeight="1" thickBot="1" x14ac:dyDescent="0.25">
      <c r="B25" s="116" t="s">
        <v>24</v>
      </c>
      <c r="C25" s="138">
        <v>271</v>
      </c>
      <c r="D25" s="138">
        <v>0</v>
      </c>
    </row>
    <row r="26" spans="1:9" ht="15" customHeight="1" thickBot="1" x14ac:dyDescent="0.25">
      <c r="B26" s="116" t="s">
        <v>195</v>
      </c>
      <c r="C26" s="137">
        <v>0</v>
      </c>
      <c r="D26" s="137">
        <v>0</v>
      </c>
    </row>
    <row r="27" spans="1:9" ht="15" customHeight="1" x14ac:dyDescent="0.2">
      <c r="C27" s="117"/>
      <c r="D27" s="117"/>
    </row>
    <row r="28" spans="1:9" ht="34.5" customHeight="1" thickBot="1" x14ac:dyDescent="0.25">
      <c r="C28" s="114" t="s">
        <v>392</v>
      </c>
      <c r="D28" s="114" t="s">
        <v>393</v>
      </c>
    </row>
    <row r="29" spans="1:9" ht="15" customHeight="1" thickBot="1" x14ac:dyDescent="0.25">
      <c r="A29" s="114" t="s">
        <v>11</v>
      </c>
      <c r="B29" s="116" t="s">
        <v>103</v>
      </c>
      <c r="C29" s="137">
        <v>0</v>
      </c>
      <c r="D29" s="137">
        <v>0</v>
      </c>
    </row>
    <row r="30" spans="1:9" ht="15" customHeight="1" thickBot="1" x14ac:dyDescent="0.25">
      <c r="B30" s="116" t="s">
        <v>115</v>
      </c>
      <c r="C30" s="138">
        <v>69</v>
      </c>
      <c r="D30" s="138">
        <v>261.7</v>
      </c>
    </row>
    <row r="31" spans="1:9" ht="15" customHeight="1" thickBot="1" x14ac:dyDescent="0.25">
      <c r="B31" s="116" t="s">
        <v>107</v>
      </c>
      <c r="C31" s="137">
        <v>259.8</v>
      </c>
      <c r="D31" s="137">
        <v>106.6</v>
      </c>
    </row>
    <row r="32" spans="1:9" ht="15" customHeight="1" thickBot="1" x14ac:dyDescent="0.25">
      <c r="B32" s="116" t="s">
        <v>24</v>
      </c>
      <c r="C32" s="138">
        <v>270</v>
      </c>
      <c r="D32" s="138">
        <v>0</v>
      </c>
    </row>
    <row r="33" spans="1:4" ht="15" customHeight="1" thickBot="1" x14ac:dyDescent="0.25">
      <c r="B33" s="116" t="s">
        <v>195</v>
      </c>
      <c r="C33" s="137">
        <v>0</v>
      </c>
      <c r="D33" s="137">
        <v>0</v>
      </c>
    </row>
    <row r="34" spans="1:4" ht="15" customHeight="1" x14ac:dyDescent="0.2">
      <c r="C34" s="117"/>
      <c r="D34" s="117"/>
    </row>
    <row r="35" spans="1:4" ht="34.5" customHeight="1" thickBot="1" x14ac:dyDescent="0.25">
      <c r="C35" s="114" t="s">
        <v>392</v>
      </c>
      <c r="D35" s="114" t="s">
        <v>393</v>
      </c>
    </row>
    <row r="36" spans="1:4" ht="15" customHeight="1" thickBot="1" x14ac:dyDescent="0.25">
      <c r="A36" s="114" t="s">
        <v>390</v>
      </c>
      <c r="B36" s="116" t="s">
        <v>103</v>
      </c>
      <c r="C36" s="137">
        <v>208.5</v>
      </c>
      <c r="D36" s="137"/>
    </row>
    <row r="37" spans="1:4" ht="15" customHeight="1" thickBot="1" x14ac:dyDescent="0.25">
      <c r="B37" s="116" t="s">
        <v>115</v>
      </c>
      <c r="C37" s="138">
        <v>524.45499999999993</v>
      </c>
      <c r="D37" s="138">
        <v>56</v>
      </c>
    </row>
    <row r="38" spans="1:4" ht="15" customHeight="1" thickBot="1" x14ac:dyDescent="0.25">
      <c r="B38" s="116" t="s">
        <v>107</v>
      </c>
      <c r="C38" s="137">
        <v>306</v>
      </c>
      <c r="D38" s="137">
        <v>19.8</v>
      </c>
    </row>
    <row r="39" spans="1:4" ht="15" customHeight="1" thickBot="1" x14ac:dyDescent="0.25">
      <c r="B39" s="116" t="s">
        <v>24</v>
      </c>
      <c r="C39" s="138">
        <v>211.4</v>
      </c>
      <c r="D39" s="138">
        <v>102.4</v>
      </c>
    </row>
    <row r="40" spans="1:4" ht="15" customHeight="1" thickBot="1" x14ac:dyDescent="0.25">
      <c r="B40" s="116" t="s">
        <v>195</v>
      </c>
      <c r="C40" s="137">
        <v>0</v>
      </c>
      <c r="D40" s="137">
        <v>0</v>
      </c>
    </row>
  </sheetData>
  <hyperlinks>
    <hyperlink ref="A1" location="Index!A1" display="Back to Index tab"/>
  </hyperlinks>
  <pageMargins left="0.7" right="0.7" top="0.75" bottom="0.75" header="0.3" footer="0.3"/>
  <pageSetup paperSize="9" orientation="portrait" verticalDpi="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showGridLines="0" workbookViewId="0"/>
  </sheetViews>
  <sheetFormatPr defaultRowHeight="15" customHeight="1" x14ac:dyDescent="0.25"/>
  <cols>
    <col min="1" max="8" width="9" style="150"/>
    <col min="9" max="10" width="9.25" style="150" customWidth="1"/>
    <col min="11" max="16384" width="9" style="150"/>
  </cols>
  <sheetData>
    <row r="1" spans="1:10" ht="15" customHeight="1" x14ac:dyDescent="0.25">
      <c r="A1" s="101" t="s">
        <v>487</v>
      </c>
    </row>
    <row r="3" spans="1:10" ht="15" customHeight="1" x14ac:dyDescent="0.25">
      <c r="A3" s="113" t="s">
        <v>489</v>
      </c>
    </row>
    <row r="4" spans="1:10" ht="15" customHeight="1" x14ac:dyDescent="0.25">
      <c r="A4" s="152"/>
      <c r="B4" s="152"/>
      <c r="C4" s="152"/>
      <c r="D4" s="152"/>
      <c r="E4" s="152"/>
      <c r="F4" s="152"/>
      <c r="G4" s="152"/>
      <c r="H4" s="152"/>
      <c r="I4" s="152"/>
    </row>
    <row r="5" spans="1:10" ht="15" customHeight="1" x14ac:dyDescent="0.25">
      <c r="A5" s="152"/>
      <c r="B5" s="152"/>
      <c r="C5" s="152"/>
      <c r="D5" s="152"/>
      <c r="E5" s="152"/>
      <c r="F5" s="152"/>
      <c r="G5" s="152"/>
      <c r="H5" s="152"/>
      <c r="I5" s="152"/>
    </row>
    <row r="6" spans="1:10" ht="15" customHeight="1" x14ac:dyDescent="0.25">
      <c r="A6" s="152"/>
      <c r="B6" s="152"/>
      <c r="C6" s="152"/>
      <c r="D6" s="152"/>
      <c r="E6" s="152"/>
      <c r="F6" s="152"/>
      <c r="G6" s="152"/>
      <c r="H6" s="152"/>
      <c r="I6" s="152"/>
    </row>
    <row r="7" spans="1:10" ht="15" customHeight="1" x14ac:dyDescent="0.25">
      <c r="A7" s="152"/>
      <c r="B7" s="152"/>
      <c r="C7" s="152"/>
      <c r="D7" s="152"/>
      <c r="E7" s="152"/>
      <c r="F7" s="152"/>
      <c r="G7" s="152"/>
      <c r="H7" s="152"/>
      <c r="I7" s="152"/>
    </row>
    <row r="8" spans="1:10" ht="15" customHeight="1" x14ac:dyDescent="0.25">
      <c r="A8" s="152"/>
      <c r="B8" s="152"/>
      <c r="C8" s="152"/>
      <c r="D8" s="152"/>
      <c r="E8" s="152"/>
      <c r="F8" s="152"/>
      <c r="G8" s="152"/>
      <c r="H8" s="152"/>
      <c r="I8" s="152"/>
      <c r="J8" s="151"/>
    </row>
    <row r="9" spans="1:10" ht="15" customHeight="1" x14ac:dyDescent="0.25">
      <c r="A9" s="152"/>
      <c r="B9" s="152"/>
      <c r="C9" s="152"/>
      <c r="D9" s="152"/>
      <c r="E9" s="152"/>
      <c r="F9" s="152"/>
      <c r="G9" s="152"/>
      <c r="H9" s="152"/>
      <c r="I9" s="152"/>
      <c r="J9" s="151"/>
    </row>
    <row r="10" spans="1:10" ht="15" customHeight="1" x14ac:dyDescent="0.25">
      <c r="A10" s="152"/>
      <c r="B10" s="152"/>
      <c r="C10" s="152"/>
      <c r="D10" s="152"/>
      <c r="E10" s="152"/>
      <c r="F10" s="152"/>
      <c r="G10" s="152"/>
      <c r="H10" s="152"/>
      <c r="I10" s="152"/>
    </row>
    <row r="11" spans="1:10" ht="15" customHeight="1" x14ac:dyDescent="0.25">
      <c r="A11" s="152"/>
      <c r="B11" s="152"/>
      <c r="C11" s="152"/>
      <c r="D11" s="152"/>
      <c r="E11" s="152"/>
      <c r="F11" s="152"/>
      <c r="G11" s="152"/>
      <c r="H11" s="152"/>
      <c r="I11" s="152"/>
    </row>
    <row r="12" spans="1:10" ht="15" customHeight="1" x14ac:dyDescent="0.25">
      <c r="A12" s="152"/>
      <c r="B12" s="152"/>
      <c r="C12" s="152"/>
      <c r="D12" s="152"/>
      <c r="E12" s="152"/>
      <c r="F12" s="152"/>
      <c r="G12" s="152"/>
      <c r="H12" s="152"/>
      <c r="I12" s="152"/>
    </row>
    <row r="13" spans="1:10" ht="15" customHeight="1" x14ac:dyDescent="0.25">
      <c r="A13" s="152"/>
      <c r="B13" s="152"/>
      <c r="C13" s="152"/>
      <c r="D13" s="152"/>
      <c r="E13" s="152"/>
      <c r="F13" s="152"/>
      <c r="G13" s="152"/>
      <c r="H13" s="152"/>
      <c r="I13" s="152"/>
    </row>
    <row r="14" spans="1:10" ht="15" customHeight="1" x14ac:dyDescent="0.25">
      <c r="A14" s="152"/>
      <c r="B14" s="152"/>
      <c r="C14" s="152"/>
      <c r="D14" s="152"/>
      <c r="E14" s="152"/>
      <c r="F14" s="152"/>
      <c r="G14" s="152"/>
      <c r="H14" s="152"/>
      <c r="I14" s="152"/>
    </row>
    <row r="15" spans="1:10" ht="15" customHeight="1" x14ac:dyDescent="0.25">
      <c r="A15" s="152"/>
      <c r="B15" s="152"/>
      <c r="C15" s="152"/>
      <c r="D15" s="152"/>
      <c r="E15" s="152"/>
      <c r="F15" s="152"/>
      <c r="G15" s="152"/>
      <c r="H15" s="152"/>
      <c r="I15" s="152"/>
    </row>
    <row r="16" spans="1:10" ht="15" customHeight="1" x14ac:dyDescent="0.25">
      <c r="A16" s="152"/>
      <c r="B16" s="152"/>
      <c r="C16" s="152"/>
      <c r="D16" s="152"/>
      <c r="E16" s="152"/>
      <c r="F16" s="152"/>
      <c r="G16" s="152"/>
      <c r="H16" s="152"/>
      <c r="I16" s="152"/>
    </row>
    <row r="17" spans="1:21" ht="15" customHeight="1" x14ac:dyDescent="0.25">
      <c r="A17" s="152"/>
      <c r="B17" s="152"/>
      <c r="C17" s="152"/>
      <c r="D17" s="152"/>
      <c r="E17" s="152"/>
      <c r="F17" s="152"/>
      <c r="G17" s="152"/>
      <c r="H17" s="152"/>
      <c r="I17" s="152"/>
    </row>
    <row r="18" spans="1:21" ht="15" customHeight="1" x14ac:dyDescent="0.25">
      <c r="A18" s="152"/>
      <c r="B18" s="152"/>
      <c r="C18" s="152"/>
      <c r="D18" s="152"/>
      <c r="E18" s="152"/>
      <c r="F18" s="152"/>
      <c r="G18" s="152"/>
      <c r="H18" s="152"/>
      <c r="I18" s="152"/>
    </row>
    <row r="19" spans="1:21" ht="15" customHeight="1" x14ac:dyDescent="0.25">
      <c r="A19" s="152"/>
      <c r="B19" s="152"/>
      <c r="C19" s="152"/>
      <c r="D19" s="152"/>
      <c r="E19" s="152"/>
      <c r="F19" s="152"/>
      <c r="G19" s="152"/>
      <c r="H19" s="152"/>
      <c r="I19" s="152"/>
    </row>
    <row r="21" spans="1:21" ht="15" customHeight="1" thickBot="1" x14ac:dyDescent="0.3">
      <c r="A21" s="114" t="s">
        <v>488</v>
      </c>
      <c r="B21" s="114">
        <v>2017</v>
      </c>
      <c r="C21" s="114">
        <v>2018</v>
      </c>
      <c r="D21" s="114">
        <v>2019</v>
      </c>
      <c r="E21" s="114">
        <v>2020</v>
      </c>
      <c r="F21" s="114">
        <v>2021</v>
      </c>
      <c r="G21" s="114">
        <v>2022</v>
      </c>
      <c r="H21" s="114">
        <v>2023</v>
      </c>
      <c r="I21" s="114">
        <v>2024</v>
      </c>
      <c r="J21" s="114">
        <v>2025</v>
      </c>
      <c r="K21" s="114">
        <v>2026</v>
      </c>
      <c r="L21" s="114">
        <v>2027</v>
      </c>
      <c r="M21" s="114">
        <v>2028</v>
      </c>
      <c r="N21" s="114">
        <v>2029</v>
      </c>
      <c r="O21" s="114">
        <v>2030</v>
      </c>
      <c r="P21" s="114">
        <v>2031</v>
      </c>
      <c r="Q21" s="114">
        <v>2032</v>
      </c>
      <c r="R21" s="114">
        <v>2033</v>
      </c>
      <c r="S21" s="114">
        <v>2034</v>
      </c>
      <c r="T21" s="114">
        <v>2035</v>
      </c>
      <c r="U21" s="114">
        <v>2036</v>
      </c>
    </row>
    <row r="22" spans="1:21" ht="15" customHeight="1" thickBot="1" x14ac:dyDescent="0.3">
      <c r="A22" s="116" t="s">
        <v>491</v>
      </c>
      <c r="B22" s="137">
        <v>0</v>
      </c>
      <c r="C22" s="137">
        <v>0</v>
      </c>
      <c r="D22" s="137">
        <v>23109.790909919997</v>
      </c>
      <c r="E22" s="137">
        <v>14090.95142519999</v>
      </c>
      <c r="F22" s="137">
        <v>36821.94478415999</v>
      </c>
      <c r="G22" s="137">
        <v>19306.266459840001</v>
      </c>
      <c r="H22" s="137">
        <v>4251.6883783200001</v>
      </c>
      <c r="I22" s="137">
        <v>4352.9503617599994</v>
      </c>
      <c r="J22" s="137">
        <v>0</v>
      </c>
      <c r="K22" s="137">
        <v>0</v>
      </c>
      <c r="L22" s="137">
        <v>0</v>
      </c>
      <c r="M22" s="137">
        <v>0</v>
      </c>
      <c r="N22" s="137">
        <v>0</v>
      </c>
      <c r="O22" s="137">
        <v>0</v>
      </c>
      <c r="P22" s="137">
        <v>0</v>
      </c>
      <c r="Q22" s="137">
        <v>0</v>
      </c>
      <c r="R22" s="137">
        <v>0</v>
      </c>
      <c r="S22" s="137">
        <v>0</v>
      </c>
      <c r="T22" s="137">
        <v>0</v>
      </c>
      <c r="U22" s="137">
        <v>0</v>
      </c>
    </row>
    <row r="23" spans="1:21" ht="15" customHeight="1" thickBot="1" x14ac:dyDescent="0.3">
      <c r="A23" s="116" t="s">
        <v>490</v>
      </c>
      <c r="B23" s="138">
        <v>85443.987073919998</v>
      </c>
      <c r="C23" s="138">
        <v>80938.580648160001</v>
      </c>
      <c r="D23" s="138">
        <v>75663.470312160003</v>
      </c>
      <c r="E23" s="138">
        <v>70198.945991279994</v>
      </c>
      <c r="F23" s="138">
        <v>71342.814337200005</v>
      </c>
      <c r="G23" s="138">
        <v>72827.151825120003</v>
      </c>
      <c r="H23" s="138">
        <v>73771.530020160004</v>
      </c>
      <c r="I23" s="138">
        <v>72734.244201839902</v>
      </c>
      <c r="J23" s="138">
        <v>72907.259955119996</v>
      </c>
      <c r="K23" s="138">
        <v>73999.797211440004</v>
      </c>
      <c r="L23" s="138">
        <v>75902.380309440006</v>
      </c>
      <c r="M23" s="138">
        <v>76673.015440319898</v>
      </c>
      <c r="N23" s="138">
        <v>77050.034255519902</v>
      </c>
      <c r="O23" s="138">
        <v>78335.442312479994</v>
      </c>
      <c r="P23" s="138">
        <v>78906.725601600003</v>
      </c>
      <c r="Q23" s="138">
        <v>79703.681959199996</v>
      </c>
      <c r="R23" s="138">
        <v>80540.0705112</v>
      </c>
      <c r="S23" s="138">
        <v>81218.101158239995</v>
      </c>
      <c r="T23" s="138">
        <v>81061.098848399997</v>
      </c>
      <c r="U23" s="138">
        <v>82389.713343359996</v>
      </c>
    </row>
  </sheetData>
  <hyperlinks>
    <hyperlink ref="A1" location="Index!A1" display="Back to Index tab"/>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5"/>
  <sheetViews>
    <sheetView showGridLines="0" zoomScaleNormal="100" workbookViewId="0"/>
  </sheetViews>
  <sheetFormatPr defaultRowHeight="15" customHeight="1" x14ac:dyDescent="0.2"/>
  <cols>
    <col min="1" max="10" width="9" style="2"/>
    <col min="11" max="13" width="9" style="2" customWidth="1"/>
    <col min="14" max="16" width="9" style="2" hidden="1" customWidth="1"/>
    <col min="17" max="27" width="9" style="2" customWidth="1"/>
    <col min="28" max="28" width="13.375" style="2" bestFit="1" customWidth="1"/>
    <col min="29" max="16384" width="9" style="2"/>
  </cols>
  <sheetData>
    <row r="1" spans="1:28" ht="15" customHeight="1" x14ac:dyDescent="0.2">
      <c r="A1" s="101" t="s">
        <v>487</v>
      </c>
    </row>
    <row r="3" spans="1:28" s="103" customFormat="1" ht="15" customHeight="1" x14ac:dyDescent="0.2">
      <c r="A3" s="1" t="s">
        <v>426</v>
      </c>
      <c r="K3" s="1" t="s">
        <v>315</v>
      </c>
    </row>
    <row r="4" spans="1:28" s="111" customFormat="1" ht="45" customHeight="1" thickBot="1" x14ac:dyDescent="0.25">
      <c r="A4" s="110"/>
      <c r="B4" s="110"/>
      <c r="C4" s="110"/>
      <c r="D4" s="110"/>
      <c r="E4" s="110"/>
      <c r="F4" s="110"/>
      <c r="G4" s="110"/>
      <c r="H4" s="110"/>
      <c r="I4" s="110"/>
      <c r="K4" s="34" t="s">
        <v>296</v>
      </c>
      <c r="L4" s="34" t="s">
        <v>5</v>
      </c>
      <c r="M4" s="34" t="s">
        <v>298</v>
      </c>
      <c r="N4" s="34" t="s">
        <v>299</v>
      </c>
      <c r="O4" s="34" t="s">
        <v>300</v>
      </c>
      <c r="P4" s="34" t="s">
        <v>301</v>
      </c>
      <c r="Q4" s="34" t="s">
        <v>302</v>
      </c>
      <c r="R4" s="34" t="s">
        <v>303</v>
      </c>
      <c r="S4" s="34" t="s">
        <v>304</v>
      </c>
      <c r="T4" s="34" t="s">
        <v>305</v>
      </c>
      <c r="U4" s="34" t="s">
        <v>306</v>
      </c>
      <c r="V4" s="34" t="s">
        <v>251</v>
      </c>
      <c r="W4" s="34" t="s">
        <v>311</v>
      </c>
      <c r="X4" s="34" t="s">
        <v>312</v>
      </c>
      <c r="Y4" s="34" t="s">
        <v>297</v>
      </c>
      <c r="Z4" s="34" t="s">
        <v>310</v>
      </c>
      <c r="AA4" s="34" t="s">
        <v>313</v>
      </c>
      <c r="AB4" s="34" t="s">
        <v>314</v>
      </c>
    </row>
    <row r="5" spans="1:28" ht="15" customHeight="1" thickBot="1" x14ac:dyDescent="0.25">
      <c r="A5" s="112"/>
      <c r="B5" s="112"/>
      <c r="C5" s="112"/>
      <c r="D5" s="112"/>
      <c r="E5" s="112"/>
      <c r="F5" s="112"/>
      <c r="G5" s="112"/>
      <c r="H5" s="112"/>
      <c r="I5" s="112"/>
      <c r="K5" s="136">
        <v>0</v>
      </c>
      <c r="L5" s="15">
        <v>787399.08269441</v>
      </c>
      <c r="M5" s="22">
        <v>151585.04786806001</v>
      </c>
      <c r="N5" s="15"/>
      <c r="O5" s="22"/>
      <c r="P5" s="15"/>
      <c r="Q5" s="22">
        <v>106410.52613579</v>
      </c>
      <c r="R5" s="15">
        <v>313254.39064861002</v>
      </c>
      <c r="S5" s="22">
        <v>211839.76714814</v>
      </c>
      <c r="T5" s="15">
        <v>250771.43014564001</v>
      </c>
      <c r="U5" s="15">
        <v>681001.85128049995</v>
      </c>
      <c r="V5" s="15">
        <v>338823.76554991998</v>
      </c>
      <c r="W5" s="22">
        <v>311420.53806396999</v>
      </c>
      <c r="X5" s="15">
        <v>905271.49934172002</v>
      </c>
      <c r="Y5" s="22">
        <v>308715.20246109</v>
      </c>
      <c r="Z5" s="15">
        <v>420973.15840100998</v>
      </c>
      <c r="AA5" s="15">
        <v>106410.52613579</v>
      </c>
      <c r="AB5" s="22" t="s">
        <v>302</v>
      </c>
    </row>
    <row r="6" spans="1:28" ht="15" customHeight="1" thickBot="1" x14ac:dyDescent="0.25">
      <c r="A6" s="112"/>
      <c r="B6" s="112"/>
      <c r="C6" s="112"/>
      <c r="D6" s="112"/>
      <c r="E6" s="112"/>
      <c r="F6" s="112"/>
      <c r="G6" s="112"/>
      <c r="H6" s="112"/>
      <c r="I6" s="112"/>
      <c r="K6" s="136">
        <v>1</v>
      </c>
      <c r="L6" s="15">
        <v>7803.9389929199997</v>
      </c>
      <c r="M6" s="22">
        <v>1563.0179075399999</v>
      </c>
      <c r="N6" s="15"/>
      <c r="O6" s="22"/>
      <c r="P6" s="15"/>
      <c r="Q6" s="22">
        <v>1164.18630551</v>
      </c>
      <c r="R6" s="15">
        <v>3101.5249339799998</v>
      </c>
      <c r="S6" s="22">
        <v>2097.4209442299998</v>
      </c>
      <c r="T6" s="15">
        <v>2482.88249597</v>
      </c>
      <c r="U6" s="15">
        <v>6748.2281374699996</v>
      </c>
      <c r="V6" s="15">
        <v>3359.1421226900002</v>
      </c>
      <c r="W6" s="22">
        <v>3088.3174521999999</v>
      </c>
      <c r="X6" s="15">
        <v>8982.86959948</v>
      </c>
      <c r="Y6" s="22">
        <v>3136.1116137200002</v>
      </c>
      <c r="Z6" s="15">
        <v>4173.9873109800001</v>
      </c>
      <c r="AA6" s="15">
        <v>1164.18630551</v>
      </c>
      <c r="AB6" s="22" t="s">
        <v>302</v>
      </c>
    </row>
    <row r="7" spans="1:28" ht="15" customHeight="1" thickBot="1" x14ac:dyDescent="0.25">
      <c r="A7" s="112"/>
      <c r="B7" s="112"/>
      <c r="C7" s="112"/>
      <c r="D7" s="112"/>
      <c r="E7" s="112"/>
      <c r="F7" s="112"/>
      <c r="G7" s="112"/>
      <c r="H7" s="112"/>
      <c r="I7" s="112"/>
      <c r="K7" s="136">
        <v>2</v>
      </c>
      <c r="L7" s="15">
        <v>3925.36234178</v>
      </c>
      <c r="M7" s="22">
        <v>811.30736704000003</v>
      </c>
      <c r="N7" s="15"/>
      <c r="O7" s="22"/>
      <c r="P7" s="15"/>
      <c r="Q7" s="22">
        <v>640.57332141999996</v>
      </c>
      <c r="R7" s="15">
        <v>1558.4776961600001</v>
      </c>
      <c r="S7" s="22">
        <v>1053.9279324300001</v>
      </c>
      <c r="T7" s="15">
        <v>1247.6175670099999</v>
      </c>
      <c r="U7" s="15">
        <v>3393.7365116199999</v>
      </c>
      <c r="V7" s="15">
        <v>1690.16592851</v>
      </c>
      <c r="W7" s="22">
        <v>1554.3286532899999</v>
      </c>
      <c r="X7" s="15">
        <v>4523.7304470199997</v>
      </c>
      <c r="Y7" s="22">
        <v>1615.81952596</v>
      </c>
      <c r="Z7" s="15">
        <v>2100.3617750200001</v>
      </c>
      <c r="AA7" s="15">
        <v>640.57332141999996</v>
      </c>
      <c r="AB7" s="22" t="s">
        <v>302</v>
      </c>
    </row>
    <row r="8" spans="1:28" ht="15" customHeight="1" thickBot="1" x14ac:dyDescent="0.25">
      <c r="A8" s="112"/>
      <c r="B8" s="112"/>
      <c r="C8" s="112"/>
      <c r="D8" s="112"/>
      <c r="E8" s="112"/>
      <c r="F8" s="112"/>
      <c r="G8" s="112"/>
      <c r="H8" s="112"/>
      <c r="I8" s="112"/>
      <c r="K8" s="136">
        <v>3</v>
      </c>
      <c r="L8" s="15">
        <v>2623.9130555000002</v>
      </c>
      <c r="M8" s="22">
        <v>559.07227079999996</v>
      </c>
      <c r="N8" s="15"/>
      <c r="O8" s="22"/>
      <c r="P8" s="15"/>
      <c r="Q8" s="22">
        <v>464.87594443</v>
      </c>
      <c r="R8" s="15">
        <v>1040.7110197899999</v>
      </c>
      <c r="S8" s="22">
        <v>703.78576224999995</v>
      </c>
      <c r="T8" s="15">
        <v>833.12668103999999</v>
      </c>
      <c r="U8" s="15">
        <v>2268.1429863799999</v>
      </c>
      <c r="V8" s="15">
        <v>1130.1440238600001</v>
      </c>
      <c r="W8" s="22">
        <v>1039.60152294</v>
      </c>
      <c r="X8" s="15">
        <v>3027.4744737400001</v>
      </c>
      <c r="Y8" s="22">
        <v>1105.6882980299999</v>
      </c>
      <c r="Z8" s="15">
        <v>1404.56051594</v>
      </c>
      <c r="AA8" s="15">
        <v>464.87594443</v>
      </c>
      <c r="AB8" s="22" t="s">
        <v>302</v>
      </c>
    </row>
    <row r="9" spans="1:28" ht="15" customHeight="1" thickBot="1" x14ac:dyDescent="0.25">
      <c r="A9" s="112"/>
      <c r="B9" s="112"/>
      <c r="C9" s="112"/>
      <c r="D9" s="112"/>
      <c r="E9" s="112"/>
      <c r="F9" s="112"/>
      <c r="G9" s="112"/>
      <c r="H9" s="112"/>
      <c r="I9" s="112"/>
      <c r="K9" s="136">
        <v>4</v>
      </c>
      <c r="L9" s="15">
        <v>1971.5656565500001</v>
      </c>
      <c r="M9" s="22">
        <v>432.64021556</v>
      </c>
      <c r="N9" s="15"/>
      <c r="O9" s="22"/>
      <c r="P9" s="15"/>
      <c r="Q9" s="22">
        <v>376.80818204000002</v>
      </c>
      <c r="R9" s="15">
        <v>781.18208572000003</v>
      </c>
      <c r="S9" s="22">
        <v>528.27808988000004</v>
      </c>
      <c r="T9" s="15">
        <v>625.36441526999999</v>
      </c>
      <c r="U9" s="15">
        <v>1703.94273722</v>
      </c>
      <c r="V9" s="15">
        <v>849.43478997</v>
      </c>
      <c r="W9" s="22">
        <v>781.59615511000004</v>
      </c>
      <c r="X9" s="15">
        <v>2277.4808370699998</v>
      </c>
      <c r="Y9" s="22">
        <v>849.98661119999997</v>
      </c>
      <c r="Z9" s="15">
        <v>1055.79230702</v>
      </c>
      <c r="AA9" s="15">
        <v>376.80818204000002</v>
      </c>
      <c r="AB9" s="22" t="s">
        <v>302</v>
      </c>
    </row>
    <row r="10" spans="1:28" ht="15" customHeight="1" thickBot="1" x14ac:dyDescent="0.25">
      <c r="A10" s="112"/>
      <c r="B10" s="112"/>
      <c r="C10" s="112"/>
      <c r="D10" s="112"/>
      <c r="E10" s="112"/>
      <c r="F10" s="112"/>
      <c r="G10" s="112"/>
      <c r="H10" s="112"/>
      <c r="I10" s="112"/>
      <c r="K10" s="136">
        <v>5</v>
      </c>
      <c r="L10" s="15">
        <v>1579.63638356</v>
      </c>
      <c r="M10" s="22">
        <v>356.68003834000001</v>
      </c>
      <c r="N10" s="15"/>
      <c r="O10" s="22"/>
      <c r="P10" s="15"/>
      <c r="Q10" s="22">
        <v>323.89721118</v>
      </c>
      <c r="R10" s="15">
        <v>625.25751773000002</v>
      </c>
      <c r="S10" s="22">
        <v>422.83336136999998</v>
      </c>
      <c r="T10" s="15">
        <v>500.54117869999999</v>
      </c>
      <c r="U10" s="15">
        <v>1364.9721310299999</v>
      </c>
      <c r="V10" s="15">
        <v>680.78513095000005</v>
      </c>
      <c r="W10" s="22">
        <v>626.58694174000004</v>
      </c>
      <c r="X10" s="15">
        <v>1826.88585681</v>
      </c>
      <c r="Y10" s="22">
        <v>696.36144544000001</v>
      </c>
      <c r="Z10" s="15">
        <v>846.25292417000003</v>
      </c>
      <c r="AA10" s="15">
        <v>323.89721118</v>
      </c>
      <c r="AB10" s="22" t="s">
        <v>302</v>
      </c>
    </row>
    <row r="11" spans="1:28" ht="15" customHeight="1" thickBot="1" x14ac:dyDescent="0.25">
      <c r="A11" s="112"/>
      <c r="B11" s="112"/>
      <c r="C11" s="112"/>
      <c r="D11" s="112"/>
      <c r="E11" s="112"/>
      <c r="F11" s="112"/>
      <c r="G11" s="112"/>
      <c r="H11" s="112"/>
      <c r="I11" s="112"/>
      <c r="K11" s="136">
        <v>6</v>
      </c>
      <c r="L11" s="15">
        <v>1318.1328243999999</v>
      </c>
      <c r="M11" s="22">
        <v>305.99779111999999</v>
      </c>
      <c r="N11" s="15"/>
      <c r="O11" s="22"/>
      <c r="P11" s="15"/>
      <c r="Q11" s="22">
        <v>288.59388443</v>
      </c>
      <c r="R11" s="15">
        <v>521.22132477000002</v>
      </c>
      <c r="S11" s="22">
        <v>352.47839254000002</v>
      </c>
      <c r="T11" s="15">
        <v>417.25645652999998</v>
      </c>
      <c r="U11" s="15">
        <v>1138.8037225</v>
      </c>
      <c r="V11" s="15">
        <v>568.25848656999995</v>
      </c>
      <c r="W11" s="22">
        <v>523.16149352000002</v>
      </c>
      <c r="X11" s="15">
        <v>1526.23929084</v>
      </c>
      <c r="Y11" s="22">
        <v>593.85946454999998</v>
      </c>
      <c r="Z11" s="15">
        <v>706.44378494</v>
      </c>
      <c r="AA11" s="15">
        <v>288.59388443</v>
      </c>
      <c r="AB11" s="22" t="s">
        <v>302</v>
      </c>
    </row>
    <row r="12" spans="1:28" ht="15" customHeight="1" thickBot="1" x14ac:dyDescent="0.25">
      <c r="A12" s="112"/>
      <c r="B12" s="112"/>
      <c r="C12" s="112"/>
      <c r="D12" s="112"/>
      <c r="E12" s="112"/>
      <c r="F12" s="112"/>
      <c r="G12" s="112"/>
      <c r="H12" s="112"/>
      <c r="I12" s="112"/>
      <c r="K12" s="136">
        <v>7</v>
      </c>
      <c r="L12" s="15">
        <v>1131.2379842600001</v>
      </c>
      <c r="M12" s="22">
        <v>269.77552853999998</v>
      </c>
      <c r="N12" s="15"/>
      <c r="O12" s="22"/>
      <c r="P12" s="15"/>
      <c r="Q12" s="22">
        <v>263.36283366999999</v>
      </c>
      <c r="R12" s="15">
        <v>446.86735514999998</v>
      </c>
      <c r="S12" s="22">
        <v>302.19616798999999</v>
      </c>
      <c r="T12" s="15">
        <v>357.73342395999998</v>
      </c>
      <c r="U12" s="15">
        <v>977.16267721999998</v>
      </c>
      <c r="V12" s="15">
        <v>487.83644815000002</v>
      </c>
      <c r="W12" s="22">
        <v>449.24401906000003</v>
      </c>
      <c r="X12" s="15">
        <v>1311.36920551</v>
      </c>
      <c r="Y12" s="22">
        <v>520.60198547000005</v>
      </c>
      <c r="Z12" s="15">
        <v>606.52313061999996</v>
      </c>
      <c r="AA12" s="15">
        <v>263.36283366999999</v>
      </c>
      <c r="AB12" s="22" t="s">
        <v>302</v>
      </c>
    </row>
    <row r="13" spans="1:28" ht="15" customHeight="1" thickBot="1" x14ac:dyDescent="0.25">
      <c r="A13" s="112"/>
      <c r="B13" s="112"/>
      <c r="C13" s="112"/>
      <c r="D13" s="112"/>
      <c r="E13" s="112"/>
      <c r="F13" s="112"/>
      <c r="G13" s="112"/>
      <c r="H13" s="112"/>
      <c r="I13" s="112"/>
      <c r="K13" s="136">
        <v>8</v>
      </c>
      <c r="L13" s="15">
        <v>991.00852302999999</v>
      </c>
      <c r="M13" s="22">
        <v>242.59752631000001</v>
      </c>
      <c r="N13" s="15"/>
      <c r="O13" s="22"/>
      <c r="P13" s="15"/>
      <c r="Q13" s="22">
        <v>244.43167066000001</v>
      </c>
      <c r="R13" s="15">
        <v>391.07867168000001</v>
      </c>
      <c r="S13" s="22">
        <v>264.46880625</v>
      </c>
      <c r="T13" s="15">
        <v>313.07257208999999</v>
      </c>
      <c r="U13" s="15">
        <v>855.88144426999997</v>
      </c>
      <c r="V13" s="15">
        <v>427.49481940999999</v>
      </c>
      <c r="W13" s="22">
        <v>393.78284298</v>
      </c>
      <c r="X13" s="15">
        <v>1150.1495797699999</v>
      </c>
      <c r="Y13" s="22">
        <v>465.63601182999997</v>
      </c>
      <c r="Z13" s="15">
        <v>531.55145371000003</v>
      </c>
      <c r="AA13" s="15">
        <v>242.59752631000001</v>
      </c>
      <c r="AB13" s="22" t="s">
        <v>298</v>
      </c>
    </row>
    <row r="14" spans="1:28" ht="15" customHeight="1" thickBot="1" x14ac:dyDescent="0.25">
      <c r="A14" s="112"/>
      <c r="B14" s="112"/>
      <c r="C14" s="112"/>
      <c r="D14" s="112"/>
      <c r="E14" s="112"/>
      <c r="F14" s="112"/>
      <c r="G14" s="112"/>
      <c r="H14" s="112"/>
      <c r="I14" s="112"/>
      <c r="K14" s="136">
        <v>9</v>
      </c>
      <c r="L14" s="15">
        <v>881.90657805000001</v>
      </c>
      <c r="M14" s="22">
        <v>221.45237706</v>
      </c>
      <c r="N14" s="15"/>
      <c r="O14" s="22"/>
      <c r="P14" s="15"/>
      <c r="Q14" s="22">
        <v>229.70276358999999</v>
      </c>
      <c r="R14" s="15">
        <v>347.67371345999999</v>
      </c>
      <c r="S14" s="22">
        <v>235.11599742000001</v>
      </c>
      <c r="T14" s="15">
        <v>278.32533861000002</v>
      </c>
      <c r="U14" s="15">
        <v>761.52168306999999</v>
      </c>
      <c r="V14" s="15">
        <v>380.5475586</v>
      </c>
      <c r="W14" s="22">
        <v>350.63269417999999</v>
      </c>
      <c r="X14" s="15">
        <v>1024.7167734300001</v>
      </c>
      <c r="Y14" s="22">
        <v>422.71116023000002</v>
      </c>
      <c r="Z14" s="15">
        <v>473.22165884999998</v>
      </c>
      <c r="AA14" s="15">
        <v>221.45237706</v>
      </c>
      <c r="AB14" s="22" t="s">
        <v>298</v>
      </c>
    </row>
    <row r="15" spans="1:28" ht="15" customHeight="1" thickBot="1" x14ac:dyDescent="0.25">
      <c r="A15" s="112"/>
      <c r="B15" s="112"/>
      <c r="C15" s="112"/>
      <c r="D15" s="112"/>
      <c r="E15" s="112"/>
      <c r="F15" s="112"/>
      <c r="G15" s="112"/>
      <c r="H15" s="112"/>
      <c r="I15" s="112"/>
      <c r="K15" s="136">
        <v>10</v>
      </c>
      <c r="L15" s="15">
        <v>794.60322330999998</v>
      </c>
      <c r="M15" s="22">
        <v>204.53203264000001</v>
      </c>
      <c r="N15" s="15"/>
      <c r="O15" s="22"/>
      <c r="P15" s="15"/>
      <c r="Q15" s="22">
        <v>217.91669517</v>
      </c>
      <c r="R15" s="15">
        <v>312.94107478000001</v>
      </c>
      <c r="S15" s="22">
        <v>211.62788581000001</v>
      </c>
      <c r="T15" s="15">
        <v>250.52060950000001</v>
      </c>
      <c r="U15" s="15">
        <v>686.01502147999997</v>
      </c>
      <c r="V15" s="15">
        <v>342.98036989000002</v>
      </c>
      <c r="W15" s="22">
        <v>316.10395338000001</v>
      </c>
      <c r="X15" s="15">
        <v>924.34546710999996</v>
      </c>
      <c r="Y15" s="22">
        <v>388.31710588999999</v>
      </c>
      <c r="Z15" s="15">
        <v>426.54616828000002</v>
      </c>
      <c r="AA15" s="15">
        <v>204.53203264000001</v>
      </c>
      <c r="AB15" s="22" t="s">
        <v>298</v>
      </c>
    </row>
    <row r="16" spans="1:28" ht="15" customHeight="1" thickBot="1" x14ac:dyDescent="0.25">
      <c r="A16" s="112"/>
      <c r="B16" s="112"/>
      <c r="C16" s="112"/>
      <c r="D16" s="112"/>
      <c r="E16" s="112"/>
      <c r="F16" s="112"/>
      <c r="G16" s="112"/>
      <c r="H16" s="112"/>
      <c r="I16" s="112"/>
      <c r="K16" s="136">
        <v>11</v>
      </c>
      <c r="L16" s="15">
        <v>723.15878887999997</v>
      </c>
      <c r="M16" s="22">
        <v>190.68532049000001</v>
      </c>
      <c r="N16" s="15"/>
      <c r="O16" s="22"/>
      <c r="P16" s="15"/>
      <c r="Q16" s="22">
        <v>208.27160198000001</v>
      </c>
      <c r="R16" s="15">
        <v>284.51772549999998</v>
      </c>
      <c r="S16" s="22">
        <v>192.40646107000001</v>
      </c>
      <c r="T16" s="15">
        <v>227.76669394999999</v>
      </c>
      <c r="U16" s="15">
        <v>624.22437448999995</v>
      </c>
      <c r="V16" s="15">
        <v>312.23737532000001</v>
      </c>
      <c r="W16" s="22">
        <v>287.84746339999998</v>
      </c>
      <c r="X16" s="15">
        <v>842.20691414999999</v>
      </c>
      <c r="Y16" s="22">
        <v>360.17083659999997</v>
      </c>
      <c r="Z16" s="15">
        <v>388.34942272000001</v>
      </c>
      <c r="AA16" s="15">
        <v>190.68532049000001</v>
      </c>
      <c r="AB16" s="22" t="s">
        <v>298</v>
      </c>
    </row>
    <row r="17" spans="1:28" ht="15" customHeight="1" thickBot="1" x14ac:dyDescent="0.25">
      <c r="A17" s="112"/>
      <c r="B17" s="112"/>
      <c r="C17" s="112"/>
      <c r="D17" s="112"/>
      <c r="E17" s="112"/>
      <c r="F17" s="112"/>
      <c r="G17" s="112"/>
      <c r="H17" s="112"/>
      <c r="I17" s="112"/>
      <c r="K17" s="136">
        <v>12</v>
      </c>
      <c r="L17" s="15">
        <v>663.61184561000005</v>
      </c>
      <c r="M17" s="22">
        <v>179.14447204999999</v>
      </c>
      <c r="N17" s="15"/>
      <c r="O17" s="22"/>
      <c r="P17" s="15"/>
      <c r="Q17" s="22">
        <v>200.23268569999999</v>
      </c>
      <c r="R17" s="15">
        <v>260.82765681000001</v>
      </c>
      <c r="S17" s="22">
        <v>176.38593978</v>
      </c>
      <c r="T17" s="15">
        <v>208.80194012000001</v>
      </c>
      <c r="U17" s="15">
        <v>572.72359402999996</v>
      </c>
      <c r="V17" s="15">
        <v>286.61394688000001</v>
      </c>
      <c r="W17" s="22">
        <v>264.29646724000003</v>
      </c>
      <c r="X17" s="15">
        <v>773.74672109999995</v>
      </c>
      <c r="Y17" s="22">
        <v>336.71170606999999</v>
      </c>
      <c r="Z17" s="15">
        <v>356.51350077000001</v>
      </c>
      <c r="AA17" s="15">
        <v>176.38593978</v>
      </c>
      <c r="AB17" s="22" t="s">
        <v>304</v>
      </c>
    </row>
    <row r="18" spans="1:28" ht="15" customHeight="1" thickBot="1" x14ac:dyDescent="0.25">
      <c r="A18" s="112"/>
      <c r="B18" s="112"/>
      <c r="C18" s="112"/>
      <c r="D18" s="112"/>
      <c r="E18" s="112"/>
      <c r="F18" s="112"/>
      <c r="G18" s="112"/>
      <c r="H18" s="112"/>
      <c r="I18" s="112"/>
      <c r="K18" s="136">
        <v>13</v>
      </c>
      <c r="L18" s="15">
        <v>613.21892875000003</v>
      </c>
      <c r="M18" s="22">
        <v>169.37777406999999</v>
      </c>
      <c r="N18" s="15"/>
      <c r="O18" s="22"/>
      <c r="P18" s="15"/>
      <c r="Q18" s="22">
        <v>193.42957526999999</v>
      </c>
      <c r="R18" s="15">
        <v>240.77941261000001</v>
      </c>
      <c r="S18" s="22">
        <v>162.82821956999999</v>
      </c>
      <c r="T18" s="15">
        <v>192.75259804999999</v>
      </c>
      <c r="U18" s="15">
        <v>529.13992036000002</v>
      </c>
      <c r="V18" s="15">
        <v>264.92955432999997</v>
      </c>
      <c r="W18" s="22">
        <v>244.36591634000001</v>
      </c>
      <c r="X18" s="15">
        <v>715.81077059999996</v>
      </c>
      <c r="Y18" s="22">
        <v>316.85889852999998</v>
      </c>
      <c r="Z18" s="15">
        <v>329.57164827000003</v>
      </c>
      <c r="AA18" s="15">
        <v>162.82821956999999</v>
      </c>
      <c r="AB18" s="22" t="s">
        <v>304</v>
      </c>
    </row>
    <row r="19" spans="1:28" ht="15" customHeight="1" thickBot="1" x14ac:dyDescent="0.25">
      <c r="A19" s="112"/>
      <c r="B19" s="112"/>
      <c r="C19" s="112"/>
      <c r="D19" s="112"/>
      <c r="E19" s="112"/>
      <c r="F19" s="112"/>
      <c r="G19" s="112"/>
      <c r="H19" s="112"/>
      <c r="I19" s="112"/>
      <c r="K19" s="136">
        <v>14</v>
      </c>
      <c r="L19" s="15">
        <v>570.01986166999995</v>
      </c>
      <c r="M19" s="22">
        <v>161.00532276999999</v>
      </c>
      <c r="N19" s="15"/>
      <c r="O19" s="22"/>
      <c r="P19" s="15"/>
      <c r="Q19" s="22">
        <v>187.59764398999999</v>
      </c>
      <c r="R19" s="15">
        <v>223.59315896999999</v>
      </c>
      <c r="S19" s="22">
        <v>151.20593405</v>
      </c>
      <c r="T19" s="15">
        <v>178.99438258000001</v>
      </c>
      <c r="U19" s="15">
        <v>491.77804154</v>
      </c>
      <c r="V19" s="15">
        <v>246.34072098999999</v>
      </c>
      <c r="W19" s="22">
        <v>227.28055470000001</v>
      </c>
      <c r="X19" s="15">
        <v>666.14547613000002</v>
      </c>
      <c r="Y19" s="22">
        <v>299.84018200000003</v>
      </c>
      <c r="Z19" s="15">
        <v>306.47588463</v>
      </c>
      <c r="AA19" s="15">
        <v>151.20593405</v>
      </c>
      <c r="AB19" s="22" t="s">
        <v>304</v>
      </c>
    </row>
    <row r="20" spans="1:28" ht="15" customHeight="1" thickBot="1" x14ac:dyDescent="0.25">
      <c r="A20" s="112"/>
      <c r="B20" s="112"/>
      <c r="C20" s="112"/>
      <c r="D20" s="112"/>
      <c r="E20" s="112"/>
      <c r="F20" s="112"/>
      <c r="G20" s="112"/>
      <c r="H20" s="112"/>
      <c r="I20" s="112"/>
      <c r="K20" s="136">
        <v>15</v>
      </c>
      <c r="L20" s="15">
        <v>532.57683285999997</v>
      </c>
      <c r="M20" s="22">
        <v>153.74845450999999</v>
      </c>
      <c r="N20" s="15"/>
      <c r="O20" s="22"/>
      <c r="P20" s="15"/>
      <c r="Q20" s="22">
        <v>182.54278554000001</v>
      </c>
      <c r="R20" s="15">
        <v>208.69687923999999</v>
      </c>
      <c r="S20" s="22">
        <v>141.13225424000001</v>
      </c>
      <c r="T20" s="15">
        <v>167.06937375999999</v>
      </c>
      <c r="U20" s="15">
        <v>459.39442788999997</v>
      </c>
      <c r="V20" s="15">
        <v>230.22874757</v>
      </c>
      <c r="W20" s="22">
        <v>212.47172355999999</v>
      </c>
      <c r="X20" s="15">
        <v>623.09780966999995</v>
      </c>
      <c r="Y20" s="22">
        <v>285.08911577999999</v>
      </c>
      <c r="Z20" s="15">
        <v>286.45750450999998</v>
      </c>
      <c r="AA20" s="15">
        <v>141.13225424000001</v>
      </c>
      <c r="AB20" s="22" t="s">
        <v>304</v>
      </c>
    </row>
    <row r="21" spans="1:28" ht="15" customHeight="1" thickBot="1" x14ac:dyDescent="0.25">
      <c r="A21" s="112"/>
      <c r="B21" s="112"/>
      <c r="C21" s="112"/>
      <c r="D21" s="112"/>
      <c r="E21" s="112"/>
      <c r="F21" s="112"/>
      <c r="G21" s="112"/>
      <c r="H21" s="112"/>
      <c r="I21" s="112"/>
      <c r="K21" s="136">
        <v>16</v>
      </c>
      <c r="L21" s="15">
        <v>499.81125928</v>
      </c>
      <c r="M21" s="22">
        <v>147.3981283</v>
      </c>
      <c r="N21" s="15"/>
      <c r="O21" s="22"/>
      <c r="P21" s="15"/>
      <c r="Q21" s="22">
        <v>178.11938968999999</v>
      </c>
      <c r="R21" s="15">
        <v>195.66147140999999</v>
      </c>
      <c r="S21" s="22">
        <v>132.31699788</v>
      </c>
      <c r="T21" s="15">
        <v>156.63405997000001</v>
      </c>
      <c r="U21" s="15">
        <v>431.05623749</v>
      </c>
      <c r="V21" s="15">
        <v>216.12951285</v>
      </c>
      <c r="W21" s="22">
        <v>199.51284017</v>
      </c>
      <c r="X21" s="15">
        <v>585.42774010000005</v>
      </c>
      <c r="Y21" s="22">
        <v>272.18078130999999</v>
      </c>
      <c r="Z21" s="15">
        <v>268.93985901999997</v>
      </c>
      <c r="AA21" s="15">
        <v>132.31699788</v>
      </c>
      <c r="AB21" s="22" t="s">
        <v>304</v>
      </c>
    </row>
    <row r="22" spans="1:28" ht="15" customHeight="1" thickBot="1" x14ac:dyDescent="0.25">
      <c r="A22" s="112"/>
      <c r="B22" s="112"/>
      <c r="C22" s="112"/>
      <c r="D22" s="112"/>
      <c r="E22" s="112"/>
      <c r="F22" s="112"/>
      <c r="G22" s="112"/>
      <c r="H22" s="112"/>
      <c r="I22" s="112"/>
      <c r="K22" s="136">
        <v>17</v>
      </c>
      <c r="L22" s="15">
        <v>470.89819283999998</v>
      </c>
      <c r="M22" s="22">
        <v>141.79446002</v>
      </c>
      <c r="N22" s="15"/>
      <c r="O22" s="22"/>
      <c r="P22" s="15"/>
      <c r="Q22" s="22">
        <v>174.21608745</v>
      </c>
      <c r="R22" s="15">
        <v>184.15873936</v>
      </c>
      <c r="S22" s="22">
        <v>124.53822078</v>
      </c>
      <c r="T22" s="15">
        <v>147.42570837</v>
      </c>
      <c r="U22" s="15">
        <v>406.04999178999998</v>
      </c>
      <c r="V22" s="15">
        <v>203.68803647999999</v>
      </c>
      <c r="W22" s="22">
        <v>188.07763496999999</v>
      </c>
      <c r="X22" s="15">
        <v>552.18683825999994</v>
      </c>
      <c r="Y22" s="22">
        <v>260.79018152999998</v>
      </c>
      <c r="Z22" s="15">
        <v>253.48190138999999</v>
      </c>
      <c r="AA22" s="15">
        <v>124.53822078</v>
      </c>
      <c r="AB22" s="22" t="s">
        <v>304</v>
      </c>
    </row>
    <row r="23" spans="1:28" ht="15" customHeight="1" thickBot="1" x14ac:dyDescent="0.25">
      <c r="A23" s="112"/>
      <c r="B23" s="112"/>
      <c r="C23" s="112"/>
      <c r="D23" s="112"/>
      <c r="E23" s="112"/>
      <c r="F23" s="112"/>
      <c r="G23" s="112"/>
      <c r="H23" s="112"/>
      <c r="I23" s="112"/>
      <c r="K23" s="136">
        <v>18</v>
      </c>
      <c r="L23" s="15">
        <v>445.19590564999999</v>
      </c>
      <c r="M23" s="22">
        <v>136.81307584999999</v>
      </c>
      <c r="N23" s="15"/>
      <c r="O23" s="22"/>
      <c r="P23" s="15"/>
      <c r="Q23" s="22">
        <v>170.74624463000001</v>
      </c>
      <c r="R23" s="15">
        <v>173.93337905000001</v>
      </c>
      <c r="S23" s="22">
        <v>117.62327239</v>
      </c>
      <c r="T23" s="15">
        <v>139.2399389</v>
      </c>
      <c r="U23" s="15">
        <v>383.82067524000001</v>
      </c>
      <c r="V23" s="15">
        <v>192.62817881999999</v>
      </c>
      <c r="W23" s="22">
        <v>177.91230264999999</v>
      </c>
      <c r="X23" s="15">
        <v>522.63731923</v>
      </c>
      <c r="Y23" s="22">
        <v>250.66450125</v>
      </c>
      <c r="Z23" s="15">
        <v>239.74054095</v>
      </c>
      <c r="AA23" s="15">
        <v>117.62327239</v>
      </c>
      <c r="AB23" s="22" t="s">
        <v>304</v>
      </c>
    </row>
    <row r="24" spans="1:28" ht="15" customHeight="1" thickBot="1" x14ac:dyDescent="0.25">
      <c r="A24" s="112"/>
      <c r="B24" s="112"/>
      <c r="C24" s="112"/>
      <c r="D24" s="112"/>
      <c r="E24" s="112"/>
      <c r="F24" s="112"/>
      <c r="G24" s="112"/>
      <c r="H24" s="112"/>
      <c r="I24" s="112"/>
      <c r="K24" s="136">
        <v>19</v>
      </c>
      <c r="L24" s="15">
        <v>422.19769910999997</v>
      </c>
      <c r="M24" s="22">
        <v>132.35577207</v>
      </c>
      <c r="N24" s="15"/>
      <c r="O24" s="22"/>
      <c r="P24" s="15"/>
      <c r="Q24" s="22">
        <v>167.64145629999999</v>
      </c>
      <c r="R24" s="15">
        <v>164.78380625</v>
      </c>
      <c r="S24" s="22">
        <v>111.43583039000001</v>
      </c>
      <c r="T24" s="15">
        <v>131.9153761</v>
      </c>
      <c r="U24" s="15">
        <v>363.93005582000001</v>
      </c>
      <c r="V24" s="15">
        <v>182.73190428000001</v>
      </c>
      <c r="W24" s="22">
        <v>168.81644243</v>
      </c>
      <c r="X24" s="15">
        <v>496.19663949</v>
      </c>
      <c r="Y24" s="22">
        <v>241.60412135000001</v>
      </c>
      <c r="Z24" s="15">
        <v>227.44487864000001</v>
      </c>
      <c r="AA24" s="15">
        <v>111.43583039000001</v>
      </c>
      <c r="AB24" s="22" t="s">
        <v>304</v>
      </c>
    </row>
    <row r="25" spans="1:28" ht="15" customHeight="1" thickBot="1" x14ac:dyDescent="0.25">
      <c r="A25" s="112"/>
      <c r="B25" s="112"/>
      <c r="C25" s="112"/>
      <c r="D25" s="112"/>
      <c r="E25" s="112"/>
      <c r="F25" s="112"/>
      <c r="G25" s="112"/>
      <c r="H25" s="112"/>
      <c r="I25" s="112"/>
      <c r="K25" s="136">
        <v>20</v>
      </c>
      <c r="L25" s="15">
        <v>401.49816386999998</v>
      </c>
      <c r="M25" s="22">
        <v>128.34397593</v>
      </c>
      <c r="N25" s="15"/>
      <c r="O25" s="22"/>
      <c r="P25" s="15"/>
      <c r="Q25" s="22">
        <v>164.84699164</v>
      </c>
      <c r="R25" s="15">
        <v>156.54873345999999</v>
      </c>
      <c r="S25" s="22">
        <v>105.86682337000001</v>
      </c>
      <c r="T25" s="15">
        <v>125.32290352</v>
      </c>
      <c r="U25" s="15">
        <v>346.02750428000002</v>
      </c>
      <c r="V25" s="15">
        <v>173.82476262</v>
      </c>
      <c r="W25" s="22">
        <v>160.62971365999999</v>
      </c>
      <c r="X25" s="15">
        <v>472.39870652000002</v>
      </c>
      <c r="Y25" s="22">
        <v>233.44932668000001</v>
      </c>
      <c r="Z25" s="15">
        <v>216.37816806000001</v>
      </c>
      <c r="AA25" s="15">
        <v>105.86682337000001</v>
      </c>
      <c r="AB25" s="22" t="s">
        <v>304</v>
      </c>
    </row>
    <row r="26" spans="1:28" ht="15" customHeight="1" thickBot="1" x14ac:dyDescent="0.25">
      <c r="A26" s="112"/>
      <c r="B26" s="112"/>
      <c r="C26" s="112"/>
      <c r="D26" s="112"/>
      <c r="E26" s="112"/>
      <c r="F26" s="112"/>
      <c r="G26" s="112"/>
      <c r="H26" s="112"/>
      <c r="I26" s="112"/>
      <c r="K26" s="136">
        <v>21</v>
      </c>
      <c r="L26" s="15">
        <v>382.76907463999999</v>
      </c>
      <c r="M26" s="22">
        <v>124.71407376000001</v>
      </c>
      <c r="N26" s="15"/>
      <c r="O26" s="22"/>
      <c r="P26" s="15"/>
      <c r="Q26" s="22">
        <v>162.31853978999999</v>
      </c>
      <c r="R26" s="15">
        <v>149.09758002000001</v>
      </c>
      <c r="S26" s="22">
        <v>100.82794552</v>
      </c>
      <c r="T26" s="15">
        <v>119.35798663999999</v>
      </c>
      <c r="U26" s="15">
        <v>329.82914611000001</v>
      </c>
      <c r="V26" s="15">
        <v>165.76551642000001</v>
      </c>
      <c r="W26" s="22"/>
      <c r="X26" s="15">
        <v>450.86616451999998</v>
      </c>
      <c r="Y26" s="22">
        <v>226.07080945000001</v>
      </c>
      <c r="Z26" s="15"/>
      <c r="AA26" s="15">
        <v>100.82794552</v>
      </c>
      <c r="AB26" s="22" t="s">
        <v>304</v>
      </c>
    </row>
    <row r="27" spans="1:28" ht="15" customHeight="1" thickBot="1" x14ac:dyDescent="0.25">
      <c r="A27" s="112"/>
      <c r="B27" s="112"/>
      <c r="C27" s="112"/>
      <c r="D27" s="112"/>
      <c r="E27" s="112"/>
      <c r="F27" s="112"/>
      <c r="G27" s="112"/>
      <c r="H27" s="112"/>
      <c r="I27" s="112"/>
      <c r="K27" s="136">
        <v>22</v>
      </c>
      <c r="L27" s="15">
        <v>365.74185640000002</v>
      </c>
      <c r="M27" s="22">
        <v>121.41401276000001</v>
      </c>
      <c r="N27" s="15"/>
      <c r="O27" s="22"/>
      <c r="P27" s="15"/>
      <c r="Q27" s="22">
        <v>160.01984275000001</v>
      </c>
      <c r="R27" s="15">
        <v>142.32349644999999</v>
      </c>
      <c r="S27" s="22">
        <v>96.246939380000001</v>
      </c>
      <c r="T27" s="15">
        <v>113.93508858</v>
      </c>
      <c r="U27" s="15">
        <v>315.10269700999999</v>
      </c>
      <c r="V27" s="15">
        <v>158.43859610000001</v>
      </c>
      <c r="W27" s="22"/>
      <c r="X27" s="15">
        <v>431.29023689000002</v>
      </c>
      <c r="Y27" s="22">
        <v>219.36276176000001</v>
      </c>
      <c r="Z27" s="15"/>
      <c r="AA27" s="15">
        <v>96.246939380000001</v>
      </c>
      <c r="AB27" s="22" t="s">
        <v>304</v>
      </c>
    </row>
    <row r="28" spans="1:28" ht="15" customHeight="1" thickBot="1" x14ac:dyDescent="0.25">
      <c r="A28" s="112"/>
      <c r="B28" s="112"/>
      <c r="C28" s="112"/>
      <c r="D28" s="112"/>
      <c r="E28" s="112"/>
      <c r="F28" s="112"/>
      <c r="G28" s="112"/>
      <c r="H28" s="112"/>
      <c r="I28" s="112"/>
      <c r="K28" s="136">
        <v>23</v>
      </c>
      <c r="L28" s="15">
        <v>350.19462227999998</v>
      </c>
      <c r="M28" s="22">
        <v>118.40078889</v>
      </c>
      <c r="N28" s="15"/>
      <c r="O28" s="22"/>
      <c r="P28" s="15"/>
      <c r="Q28" s="22">
        <v>157.92094557999999</v>
      </c>
      <c r="R28" s="15">
        <v>136.13820755</v>
      </c>
      <c r="S28" s="22"/>
      <c r="T28" s="15">
        <v>108.98354189</v>
      </c>
      <c r="U28" s="15">
        <v>301.65625202000001</v>
      </c>
      <c r="V28" s="15">
        <v>151.74852239000001</v>
      </c>
      <c r="W28" s="22"/>
      <c r="X28" s="15">
        <v>413.41582421999999</v>
      </c>
      <c r="Y28" s="22">
        <v>213.23776907999999</v>
      </c>
      <c r="Z28" s="15"/>
      <c r="AA28" s="15">
        <v>108.98354189</v>
      </c>
      <c r="AB28" s="22" t="s">
        <v>305</v>
      </c>
    </row>
    <row r="29" spans="1:28" ht="15" customHeight="1" thickBot="1" x14ac:dyDescent="0.25">
      <c r="A29" s="112"/>
      <c r="B29" s="112"/>
      <c r="C29" s="112"/>
      <c r="D29" s="112"/>
      <c r="E29" s="112"/>
      <c r="F29" s="112"/>
      <c r="G29" s="112"/>
      <c r="H29" s="112"/>
      <c r="I29" s="112"/>
      <c r="K29" s="136">
        <v>24</v>
      </c>
      <c r="L29" s="15">
        <v>335.94245139999998</v>
      </c>
      <c r="M29" s="22">
        <v>115.63856239</v>
      </c>
      <c r="N29" s="15"/>
      <c r="O29" s="22"/>
      <c r="P29" s="15"/>
      <c r="Q29" s="22">
        <v>155.99688363999999</v>
      </c>
      <c r="R29" s="15">
        <v>130.46814479</v>
      </c>
      <c r="S29" s="22"/>
      <c r="T29" s="15">
        <v>104.44445229</v>
      </c>
      <c r="U29" s="15">
        <v>289.32987757000001</v>
      </c>
      <c r="V29" s="15">
        <v>145.61572262999999</v>
      </c>
      <c r="W29" s="22"/>
      <c r="X29" s="15">
        <v>397.0303255</v>
      </c>
      <c r="Y29" s="22">
        <v>207.62297982000001</v>
      </c>
      <c r="Z29" s="15"/>
      <c r="AA29" s="15">
        <v>104.44445229</v>
      </c>
      <c r="AB29" s="22" t="s">
        <v>305</v>
      </c>
    </row>
    <row r="30" spans="1:28" ht="15" customHeight="1" thickBot="1" x14ac:dyDescent="0.25">
      <c r="A30" s="112"/>
      <c r="B30" s="112"/>
      <c r="C30" s="112"/>
      <c r="D30" s="112"/>
      <c r="E30" s="112"/>
      <c r="F30" s="112"/>
      <c r="G30" s="112"/>
      <c r="H30" s="112"/>
      <c r="I30" s="112"/>
      <c r="K30" s="136">
        <v>25</v>
      </c>
      <c r="L30" s="15">
        <v>322.82999833000002</v>
      </c>
      <c r="M30" s="22">
        <v>113.09722567</v>
      </c>
      <c r="N30" s="15"/>
      <c r="O30" s="22"/>
      <c r="P30" s="15"/>
      <c r="Q30" s="22">
        <v>154.22668512000001</v>
      </c>
      <c r="R30" s="15">
        <v>125.25150565</v>
      </c>
      <c r="S30" s="22"/>
      <c r="T30" s="15">
        <v>100.26834464</v>
      </c>
      <c r="U30" s="15">
        <v>277.98921872</v>
      </c>
      <c r="V30" s="15">
        <v>139.97335067</v>
      </c>
      <c r="W30" s="22"/>
      <c r="X30" s="15">
        <v>381.95514255000001</v>
      </c>
      <c r="Y30" s="22">
        <v>202.45719412</v>
      </c>
      <c r="Z30" s="15"/>
      <c r="AA30" s="15">
        <v>100.26834464</v>
      </c>
      <c r="AB30" s="22" t="s">
        <v>305</v>
      </c>
    </row>
    <row r="31" spans="1:28" ht="15" customHeight="1" thickBot="1" x14ac:dyDescent="0.25">
      <c r="A31" s="112"/>
      <c r="B31" s="112"/>
      <c r="C31" s="112"/>
      <c r="D31" s="112"/>
      <c r="E31" s="112"/>
      <c r="F31" s="112"/>
      <c r="G31" s="112"/>
      <c r="H31" s="112"/>
      <c r="I31" s="112"/>
      <c r="K31" s="136">
        <v>26</v>
      </c>
      <c r="L31" s="15">
        <v>310.72580768</v>
      </c>
      <c r="M31" s="22">
        <v>110.75130124</v>
      </c>
      <c r="N31" s="15"/>
      <c r="O31" s="22"/>
      <c r="P31" s="15"/>
      <c r="Q31" s="22">
        <v>152.59260336</v>
      </c>
      <c r="R31" s="15">
        <v>120.43599216</v>
      </c>
      <c r="S31" s="22"/>
      <c r="T31" s="15">
        <v>96.413352520000004</v>
      </c>
      <c r="U31" s="15">
        <v>267.52058283999997</v>
      </c>
      <c r="V31" s="15">
        <v>134.76484045000001</v>
      </c>
      <c r="W31" s="22"/>
      <c r="X31" s="15">
        <v>368.03914318</v>
      </c>
      <c r="Y31" s="22">
        <v>197.68862379999999</v>
      </c>
      <c r="Z31" s="15"/>
      <c r="AA31" s="15">
        <v>96.413352520000004</v>
      </c>
      <c r="AB31" s="22" t="s">
        <v>305</v>
      </c>
    </row>
    <row r="32" spans="1:28" ht="15" customHeight="1" thickBot="1" x14ac:dyDescent="0.25">
      <c r="A32" s="112"/>
      <c r="B32" s="112"/>
      <c r="C32" s="112"/>
      <c r="D32" s="112"/>
      <c r="E32" s="112"/>
      <c r="F32" s="112"/>
      <c r="G32" s="112"/>
      <c r="H32" s="112"/>
      <c r="I32" s="112"/>
      <c r="K32" s="136">
        <v>27</v>
      </c>
      <c r="L32" s="15">
        <v>299.51789184</v>
      </c>
      <c r="M32" s="22">
        <v>108.57908466000001</v>
      </c>
      <c r="N32" s="15"/>
      <c r="O32" s="22"/>
      <c r="P32" s="15"/>
      <c r="Q32" s="22">
        <v>151.07951986</v>
      </c>
      <c r="R32" s="15">
        <v>115.97705132999999</v>
      </c>
      <c r="S32" s="22"/>
      <c r="T32" s="15">
        <v>92.843809680000007</v>
      </c>
      <c r="U32" s="15">
        <v>257.82711441999999</v>
      </c>
      <c r="V32" s="15">
        <v>129.94200296</v>
      </c>
      <c r="W32" s="22"/>
      <c r="X32" s="15">
        <v>355.15357691000003</v>
      </c>
      <c r="Y32" s="22">
        <v>193.27315012</v>
      </c>
      <c r="Z32" s="15"/>
      <c r="AA32" s="15">
        <v>92.843809680000007</v>
      </c>
      <c r="AB32" s="22" t="s">
        <v>305</v>
      </c>
    </row>
    <row r="33" spans="1:28" ht="15" customHeight="1" thickBot="1" x14ac:dyDescent="0.25">
      <c r="A33" s="112"/>
      <c r="B33" s="112"/>
      <c r="C33" s="112"/>
      <c r="D33" s="112"/>
      <c r="E33" s="112"/>
      <c r="F33" s="112"/>
      <c r="G33" s="112"/>
      <c r="H33" s="112"/>
      <c r="I33" s="112"/>
      <c r="K33" s="136">
        <v>28</v>
      </c>
      <c r="L33" s="15">
        <v>289.11025554999998</v>
      </c>
      <c r="M33" s="22">
        <v>106.56197100999999</v>
      </c>
      <c r="N33" s="15"/>
      <c r="O33" s="22"/>
      <c r="P33" s="15"/>
      <c r="Q33" s="22">
        <v>149.67447518</v>
      </c>
      <c r="R33" s="15">
        <v>111.83649253999999</v>
      </c>
      <c r="S33" s="22"/>
      <c r="T33" s="15">
        <v>89.529143129999994</v>
      </c>
      <c r="U33" s="15">
        <v>248.82578934</v>
      </c>
      <c r="V33" s="15">
        <v>125.46353087999999</v>
      </c>
      <c r="W33" s="22"/>
      <c r="X33" s="15">
        <v>343.18807975999999</v>
      </c>
      <c r="Y33" s="22">
        <v>189.17295483000001</v>
      </c>
      <c r="Z33" s="15"/>
      <c r="AA33" s="15">
        <v>89.529143129999994</v>
      </c>
      <c r="AB33" s="22" t="s">
        <v>305</v>
      </c>
    </row>
    <row r="34" spans="1:28" ht="15" customHeight="1" thickBot="1" x14ac:dyDescent="0.25">
      <c r="A34" s="112"/>
      <c r="B34" s="112"/>
      <c r="C34" s="112"/>
      <c r="D34" s="112"/>
      <c r="E34" s="112"/>
      <c r="F34" s="112"/>
      <c r="G34" s="112"/>
      <c r="H34" s="112"/>
      <c r="I34" s="112"/>
      <c r="K34" s="136">
        <v>29</v>
      </c>
      <c r="L34" s="15">
        <v>279.42013987000001</v>
      </c>
      <c r="M34" s="22">
        <v>104.68392068999999</v>
      </c>
      <c r="N34" s="15"/>
      <c r="O34" s="22"/>
      <c r="P34" s="15"/>
      <c r="Q34" s="22">
        <v>148.36629672999999</v>
      </c>
      <c r="R34" s="15">
        <v>107.98139112</v>
      </c>
      <c r="S34" s="22"/>
      <c r="T34" s="15"/>
      <c r="U34" s="15">
        <v>240.44503137000001</v>
      </c>
      <c r="V34" s="15">
        <v>121.29381247000001</v>
      </c>
      <c r="W34" s="22"/>
      <c r="X34" s="15">
        <v>332.04750474000002</v>
      </c>
      <c r="Y34" s="22">
        <v>185.35543415000001</v>
      </c>
      <c r="Z34" s="15"/>
      <c r="AA34" s="15">
        <v>104.68392068999999</v>
      </c>
      <c r="AB34" s="22" t="s">
        <v>298</v>
      </c>
    </row>
    <row r="35" spans="1:28" ht="15" customHeight="1" thickBot="1" x14ac:dyDescent="0.25">
      <c r="A35" s="112"/>
      <c r="B35" s="112"/>
      <c r="C35" s="112"/>
      <c r="D35" s="112"/>
      <c r="E35" s="112"/>
      <c r="F35" s="112"/>
      <c r="G35" s="112"/>
      <c r="H35" s="112"/>
      <c r="I35" s="112"/>
      <c r="K35" s="136">
        <v>30</v>
      </c>
      <c r="L35" s="15">
        <v>270.37581668000001</v>
      </c>
      <c r="M35" s="22">
        <v>102.931032</v>
      </c>
      <c r="N35" s="15"/>
      <c r="O35" s="22"/>
      <c r="P35" s="15"/>
      <c r="Q35" s="22">
        <v>147.14530113999999</v>
      </c>
      <c r="R35" s="15">
        <v>104.38321079000001</v>
      </c>
      <c r="S35" s="22"/>
      <c r="T35" s="15"/>
      <c r="U35" s="15">
        <v>232.62280437000001</v>
      </c>
      <c r="V35" s="15">
        <v>117.40198267</v>
      </c>
      <c r="W35" s="22"/>
      <c r="X35" s="15">
        <v>321.64938733999998</v>
      </c>
      <c r="Y35" s="22">
        <v>181.79233004</v>
      </c>
      <c r="Z35" s="15"/>
      <c r="AA35" s="15">
        <v>102.931032</v>
      </c>
      <c r="AB35" s="22" t="s">
        <v>298</v>
      </c>
    </row>
    <row r="36" spans="1:28" ht="15" customHeight="1" thickBot="1" x14ac:dyDescent="0.25">
      <c r="A36" s="112"/>
      <c r="B36" s="112"/>
      <c r="C36" s="112"/>
      <c r="D36" s="112"/>
      <c r="E36" s="112"/>
      <c r="F36" s="112"/>
      <c r="G36" s="112"/>
      <c r="H36" s="112"/>
      <c r="I36" s="112"/>
      <c r="K36" s="136">
        <v>31</v>
      </c>
      <c r="L36" s="15">
        <v>261.91480999999999</v>
      </c>
      <c r="M36" s="22">
        <v>101.29119643</v>
      </c>
      <c r="N36" s="15"/>
      <c r="O36" s="22"/>
      <c r="P36" s="15"/>
      <c r="Q36" s="22">
        <v>146.00305401</v>
      </c>
      <c r="R36" s="15">
        <v>101.01709630000001</v>
      </c>
      <c r="S36" s="22"/>
      <c r="T36" s="15"/>
      <c r="U36" s="15">
        <v>225.30507449999999</v>
      </c>
      <c r="V36" s="15">
        <v>113.76115768</v>
      </c>
      <c r="W36" s="22"/>
      <c r="X36" s="15">
        <v>311.92189981000001</v>
      </c>
      <c r="Y36" s="22">
        <v>178.45902946999999</v>
      </c>
      <c r="Z36" s="15"/>
      <c r="AA36" s="15">
        <v>101.01709630000001</v>
      </c>
      <c r="AB36" s="22" t="s">
        <v>303</v>
      </c>
    </row>
    <row r="37" spans="1:28" ht="15" customHeight="1" thickBot="1" x14ac:dyDescent="0.25">
      <c r="A37" s="112"/>
      <c r="B37" s="112"/>
      <c r="C37" s="112"/>
      <c r="D37" s="112"/>
      <c r="E37" s="112"/>
      <c r="F37" s="112"/>
      <c r="G37" s="112"/>
      <c r="H37" s="112"/>
      <c r="I37" s="112"/>
      <c r="K37" s="136">
        <v>32</v>
      </c>
      <c r="L37" s="15">
        <v>253.98245102999999</v>
      </c>
      <c r="M37" s="22">
        <v>99.753818570000007</v>
      </c>
      <c r="N37" s="15"/>
      <c r="O37" s="22"/>
      <c r="P37" s="15"/>
      <c r="Q37" s="22">
        <v>144.93217504</v>
      </c>
      <c r="R37" s="15">
        <v>97.861298219999995</v>
      </c>
      <c r="S37" s="22"/>
      <c r="T37" s="15"/>
      <c r="U37" s="15">
        <v>218.44455980000001</v>
      </c>
      <c r="V37" s="15">
        <v>110.34781319</v>
      </c>
      <c r="W37" s="22"/>
      <c r="X37" s="15">
        <v>302.80219033999998</v>
      </c>
      <c r="Y37" s="22">
        <v>175.33399510000001</v>
      </c>
      <c r="Z37" s="15"/>
      <c r="AA37" s="15">
        <v>97.861298219999995</v>
      </c>
      <c r="AB37" s="22" t="s">
        <v>303</v>
      </c>
    </row>
    <row r="38" spans="1:28" ht="15" customHeight="1" thickBot="1" x14ac:dyDescent="0.25">
      <c r="A38" s="112"/>
      <c r="B38" s="112"/>
      <c r="C38" s="112"/>
      <c r="D38" s="112"/>
      <c r="E38" s="112"/>
      <c r="F38" s="112"/>
      <c r="G38" s="112"/>
      <c r="H38" s="112"/>
      <c r="I38" s="112"/>
      <c r="K38" s="136">
        <v>33</v>
      </c>
      <c r="L38" s="15">
        <v>246.53069546</v>
      </c>
      <c r="M38" s="22">
        <v>98.309586899999999</v>
      </c>
      <c r="N38" s="15"/>
      <c r="O38" s="22"/>
      <c r="P38" s="15"/>
      <c r="Q38" s="22">
        <v>143.92617819</v>
      </c>
      <c r="R38" s="15"/>
      <c r="S38" s="22"/>
      <c r="T38" s="15"/>
      <c r="U38" s="15">
        <v>211.99970794999999</v>
      </c>
      <c r="V38" s="15">
        <v>107.14127535</v>
      </c>
      <c r="W38" s="22"/>
      <c r="X38" s="15">
        <v>294.23502310999999</v>
      </c>
      <c r="Y38" s="22">
        <v>172.39829939000001</v>
      </c>
      <c r="Z38" s="15"/>
      <c r="AA38" s="15">
        <v>98.309586899999999</v>
      </c>
      <c r="AB38" s="22" t="s">
        <v>298</v>
      </c>
    </row>
    <row r="39" spans="1:28" ht="15" customHeight="1" thickBot="1" x14ac:dyDescent="0.25">
      <c r="A39" s="112"/>
      <c r="B39" s="112"/>
      <c r="C39" s="112"/>
      <c r="D39" s="112"/>
      <c r="E39" s="112"/>
      <c r="F39" s="112"/>
      <c r="G39" s="112"/>
      <c r="H39" s="112"/>
      <c r="I39" s="112"/>
      <c r="K39" s="136">
        <v>34</v>
      </c>
      <c r="L39" s="15">
        <v>239.51714956999999</v>
      </c>
      <c r="M39" s="22">
        <v>96.950285059999999</v>
      </c>
      <c r="N39" s="15"/>
      <c r="O39" s="22"/>
      <c r="P39" s="15"/>
      <c r="Q39" s="22">
        <v>142.97934021</v>
      </c>
      <c r="R39" s="15"/>
      <c r="S39" s="22"/>
      <c r="T39" s="15"/>
      <c r="U39" s="15">
        <v>205.93385355000001</v>
      </c>
      <c r="V39" s="15">
        <v>104.12330196000001</v>
      </c>
      <c r="W39" s="22"/>
      <c r="X39" s="15">
        <v>286.17165872999999</v>
      </c>
      <c r="Y39" s="22">
        <v>169.63524089000001</v>
      </c>
      <c r="Z39" s="15"/>
      <c r="AA39" s="15">
        <v>96.950285059999999</v>
      </c>
      <c r="AB39" s="22" t="s">
        <v>298</v>
      </c>
    </row>
    <row r="40" spans="1:28" ht="15" customHeight="1" thickBot="1" x14ac:dyDescent="0.25">
      <c r="K40" s="136">
        <v>35</v>
      </c>
      <c r="L40" s="15">
        <v>232.90426328999999</v>
      </c>
      <c r="M40" s="22">
        <v>95.668635420000001</v>
      </c>
      <c r="N40" s="15"/>
      <c r="O40" s="22"/>
      <c r="P40" s="15"/>
      <c r="Q40" s="22">
        <v>142.08659180000001</v>
      </c>
      <c r="R40" s="15"/>
      <c r="S40" s="22"/>
      <c r="T40" s="15"/>
      <c r="U40" s="15">
        <v>200.21452038999999</v>
      </c>
      <c r="V40" s="15">
        <v>101.27773492999999</v>
      </c>
      <c r="W40" s="22"/>
      <c r="X40" s="15">
        <v>278.56892640000001</v>
      </c>
      <c r="Y40" s="22">
        <v>167.03002635000001</v>
      </c>
      <c r="Z40" s="15"/>
      <c r="AA40" s="15">
        <v>95.668635420000001</v>
      </c>
      <c r="AB40" s="22" t="s">
        <v>298</v>
      </c>
    </row>
    <row r="41" spans="1:28" ht="15" customHeight="1" thickBot="1" x14ac:dyDescent="0.25">
      <c r="K41" s="136">
        <v>36</v>
      </c>
      <c r="L41" s="15">
        <v>226.65865751999999</v>
      </c>
      <c r="M41" s="22">
        <v>94.45816877</v>
      </c>
      <c r="N41" s="15"/>
      <c r="O41" s="22"/>
      <c r="P41" s="15"/>
      <c r="Q41" s="22">
        <v>141.24342675</v>
      </c>
      <c r="R41" s="15"/>
      <c r="S41" s="22"/>
      <c r="T41" s="15"/>
      <c r="U41" s="15">
        <v>194.81283973999999</v>
      </c>
      <c r="V41" s="15">
        <v>98.59021104</v>
      </c>
      <c r="W41" s="22"/>
      <c r="X41" s="15">
        <v>271.38845077000002</v>
      </c>
      <c r="Y41" s="22">
        <v>164.56950576</v>
      </c>
      <c r="Z41" s="15"/>
      <c r="AA41" s="15">
        <v>94.45816877</v>
      </c>
      <c r="AB41" s="22" t="s">
        <v>298</v>
      </c>
    </row>
    <row r="42" spans="1:28" ht="15" customHeight="1" thickBot="1" x14ac:dyDescent="0.25">
      <c r="K42" s="136">
        <v>37</v>
      </c>
      <c r="L42" s="15">
        <v>220.75056083000001</v>
      </c>
      <c r="M42" s="22">
        <v>93.313115069999995</v>
      </c>
      <c r="N42" s="15"/>
      <c r="O42" s="22"/>
      <c r="P42" s="15"/>
      <c r="Q42" s="22">
        <v>140.44582588</v>
      </c>
      <c r="R42" s="15"/>
      <c r="S42" s="22"/>
      <c r="T42" s="15"/>
      <c r="U42" s="15">
        <v>189.70306292000001</v>
      </c>
      <c r="V42" s="15">
        <v>96.047919460000003</v>
      </c>
      <c r="W42" s="22"/>
      <c r="X42" s="15">
        <v>264.59600412999998</v>
      </c>
      <c r="Y42" s="22">
        <v>162.24195035</v>
      </c>
      <c r="Z42" s="15"/>
      <c r="AA42" s="15">
        <v>93.313115069999995</v>
      </c>
      <c r="AB42" s="22" t="s">
        <v>298</v>
      </c>
    </row>
    <row r="43" spans="1:28" ht="15" customHeight="1" thickBot="1" x14ac:dyDescent="0.25">
      <c r="K43" s="136">
        <v>38</v>
      </c>
      <c r="L43" s="15">
        <v>215.15333483000001</v>
      </c>
      <c r="M43" s="22">
        <v>92.228311489999996</v>
      </c>
      <c r="N43" s="15"/>
      <c r="O43" s="22"/>
      <c r="P43" s="15"/>
      <c r="Q43" s="22">
        <v>139.69019294</v>
      </c>
      <c r="R43" s="15"/>
      <c r="S43" s="22"/>
      <c r="T43" s="15"/>
      <c r="U43" s="15">
        <v>184.86215098</v>
      </c>
      <c r="V43" s="15">
        <v>93.639397509999995</v>
      </c>
      <c r="W43" s="22"/>
      <c r="X43" s="15">
        <v>258.16096059</v>
      </c>
      <c r="Y43" s="22">
        <v>160.03686561000001</v>
      </c>
      <c r="Z43" s="15"/>
      <c r="AA43" s="15">
        <v>92.228311489999996</v>
      </c>
      <c r="AB43" s="22" t="s">
        <v>298</v>
      </c>
    </row>
    <row r="44" spans="1:28" ht="15" customHeight="1" thickBot="1" x14ac:dyDescent="0.25">
      <c r="K44" s="136">
        <v>39</v>
      </c>
      <c r="L44" s="15">
        <v>209.84307246</v>
      </c>
      <c r="M44" s="22">
        <v>91.199124609999998</v>
      </c>
      <c r="N44" s="15"/>
      <c r="O44" s="22"/>
      <c r="P44" s="15"/>
      <c r="Q44" s="22">
        <v>138.97330049000001</v>
      </c>
      <c r="R44" s="15"/>
      <c r="S44" s="22"/>
      <c r="T44" s="15"/>
      <c r="U44" s="15">
        <v>180.26942729999999</v>
      </c>
      <c r="V44" s="15">
        <v>91.354357840000006</v>
      </c>
      <c r="W44" s="22"/>
      <c r="X44" s="15">
        <v>252.05583469999999</v>
      </c>
      <c r="Y44" s="22">
        <v>157.94483317000001</v>
      </c>
      <c r="Z44" s="15"/>
      <c r="AA44" s="15">
        <v>91.199124609999998</v>
      </c>
      <c r="AB44" s="22" t="s">
        <v>298</v>
      </c>
    </row>
    <row r="45" spans="1:28" ht="15" customHeight="1" thickBot="1" x14ac:dyDescent="0.25">
      <c r="K45" s="136">
        <v>40</v>
      </c>
      <c r="L45" s="15">
        <v>204.79825686000001</v>
      </c>
      <c r="M45" s="22">
        <v>90.221384200000003</v>
      </c>
      <c r="N45" s="15"/>
      <c r="O45" s="22"/>
      <c r="P45" s="15"/>
      <c r="Q45" s="22">
        <v>138.29224371000001</v>
      </c>
      <c r="R45" s="15"/>
      <c r="S45" s="22"/>
      <c r="T45" s="15"/>
      <c r="U45" s="15">
        <v>175.90628240999999</v>
      </c>
      <c r="V45" s="15">
        <v>89.183541599999998</v>
      </c>
      <c r="W45" s="22"/>
      <c r="X45" s="15">
        <v>246.25588882</v>
      </c>
      <c r="Y45" s="22">
        <v>155.95737618999999</v>
      </c>
      <c r="Z45" s="15"/>
      <c r="AA45" s="15">
        <v>89.183541599999998</v>
      </c>
      <c r="AB45" s="22" t="s">
        <v>251</v>
      </c>
    </row>
    <row r="46" spans="1:28" ht="15" customHeight="1" thickBot="1" x14ac:dyDescent="0.25">
      <c r="K46" s="136">
        <v>41</v>
      </c>
      <c r="L46" s="15">
        <v>199.99946979000001</v>
      </c>
      <c r="M46" s="22">
        <v>89.291326830000003</v>
      </c>
      <c r="N46" s="15"/>
      <c r="O46" s="22"/>
      <c r="P46" s="15"/>
      <c r="Q46" s="22">
        <v>137.64440110000001</v>
      </c>
      <c r="R46" s="15"/>
      <c r="S46" s="22"/>
      <c r="T46" s="15"/>
      <c r="U46" s="15">
        <v>171.75592194999999</v>
      </c>
      <c r="V46" s="15">
        <v>87.118593009999998</v>
      </c>
      <c r="W46" s="22"/>
      <c r="X46" s="15">
        <v>240.73879812999999</v>
      </c>
      <c r="Y46" s="22">
        <v>154.06684469999999</v>
      </c>
      <c r="Z46" s="15"/>
      <c r="AA46" s="15">
        <v>87.118593009999998</v>
      </c>
      <c r="AB46" s="22" t="s">
        <v>251</v>
      </c>
    </row>
    <row r="47" spans="1:28" ht="15" customHeight="1" thickBot="1" x14ac:dyDescent="0.25">
      <c r="K47" s="136">
        <v>42</v>
      </c>
      <c r="L47" s="15">
        <v>195.42914202</v>
      </c>
      <c r="M47" s="22">
        <v>88.405547350000006</v>
      </c>
      <c r="N47" s="15"/>
      <c r="O47" s="22"/>
      <c r="P47" s="15"/>
      <c r="Q47" s="22">
        <v>137.02740080999999</v>
      </c>
      <c r="R47" s="15"/>
      <c r="S47" s="22"/>
      <c r="T47" s="15"/>
      <c r="U47" s="15">
        <v>167.80315064999999</v>
      </c>
      <c r="V47" s="15">
        <v>85.1519519</v>
      </c>
      <c r="W47" s="22"/>
      <c r="X47" s="15">
        <v>235.48436351000001</v>
      </c>
      <c r="Y47" s="22">
        <v>152.26631707999999</v>
      </c>
      <c r="Z47" s="15"/>
      <c r="AA47" s="15">
        <v>85.1519519</v>
      </c>
      <c r="AB47" s="22" t="s">
        <v>251</v>
      </c>
    </row>
    <row r="48" spans="1:28" ht="15" customHeight="1" thickBot="1" x14ac:dyDescent="0.25">
      <c r="K48" s="136">
        <v>43</v>
      </c>
      <c r="L48" s="15">
        <v>191.07133820999999</v>
      </c>
      <c r="M48" s="22">
        <v>87.560957349999995</v>
      </c>
      <c r="N48" s="15"/>
      <c r="O48" s="22"/>
      <c r="P48" s="15"/>
      <c r="Q48" s="22">
        <v>136.43909152000001</v>
      </c>
      <c r="R48" s="15"/>
      <c r="S48" s="22"/>
      <c r="T48" s="15"/>
      <c r="U48" s="15">
        <v>164.03418644000001</v>
      </c>
      <c r="V48" s="15"/>
      <c r="W48" s="22"/>
      <c r="X48" s="15">
        <v>230.47426442</v>
      </c>
      <c r="Y48" s="22">
        <v>150.54951548</v>
      </c>
      <c r="Z48" s="15"/>
      <c r="AA48" s="15">
        <v>87.560957349999995</v>
      </c>
      <c r="AB48" s="22" t="s">
        <v>298</v>
      </c>
    </row>
    <row r="49" spans="11:28" ht="15" customHeight="1" thickBot="1" x14ac:dyDescent="0.25">
      <c r="K49" s="136">
        <v>44</v>
      </c>
      <c r="L49" s="15">
        <v>186.91157139000001</v>
      </c>
      <c r="M49" s="22">
        <v>86.754749079999996</v>
      </c>
      <c r="N49" s="15"/>
      <c r="O49" s="22"/>
      <c r="P49" s="15"/>
      <c r="Q49" s="22">
        <v>135.87751749</v>
      </c>
      <c r="R49" s="15"/>
      <c r="S49" s="22"/>
      <c r="T49" s="15"/>
      <c r="U49" s="15">
        <v>160.43649986</v>
      </c>
      <c r="V49" s="15"/>
      <c r="W49" s="22"/>
      <c r="X49" s="15">
        <v>225.69184529</v>
      </c>
      <c r="Y49" s="22">
        <v>148.91073256999999</v>
      </c>
      <c r="Z49" s="15"/>
      <c r="AA49" s="15">
        <v>86.754749079999996</v>
      </c>
      <c r="AB49" s="22" t="s">
        <v>298</v>
      </c>
    </row>
    <row r="50" spans="11:28" ht="15" customHeight="1" thickBot="1" x14ac:dyDescent="0.25">
      <c r="K50" s="136">
        <v>45</v>
      </c>
      <c r="L50" s="15">
        <v>182.93664200000001</v>
      </c>
      <c r="M50" s="22">
        <v>85.984364319999997</v>
      </c>
      <c r="N50" s="15"/>
      <c r="O50" s="22"/>
      <c r="P50" s="15"/>
      <c r="Q50" s="22">
        <v>135.34089677</v>
      </c>
      <c r="R50" s="15"/>
      <c r="S50" s="22"/>
      <c r="T50" s="15"/>
      <c r="U50" s="15">
        <v>156.99867492999999</v>
      </c>
      <c r="V50" s="15"/>
      <c r="W50" s="22"/>
      <c r="X50" s="15">
        <v>221.12193094</v>
      </c>
      <c r="Y50" s="22">
        <v>147.34476828999999</v>
      </c>
      <c r="Z50" s="15"/>
      <c r="AA50" s="15">
        <v>85.984364319999997</v>
      </c>
      <c r="AB50" s="22" t="s">
        <v>298</v>
      </c>
    </row>
    <row r="51" spans="11:28" ht="15" customHeight="1" thickBot="1" x14ac:dyDescent="0.25">
      <c r="K51" s="136">
        <v>46</v>
      </c>
      <c r="L51" s="15">
        <v>179.13449807999999</v>
      </c>
      <c r="M51" s="22">
        <v>85.247467270000001</v>
      </c>
      <c r="N51" s="15"/>
      <c r="O51" s="22"/>
      <c r="P51" s="15"/>
      <c r="Q51" s="22">
        <v>134.8276023</v>
      </c>
      <c r="R51" s="15"/>
      <c r="S51" s="22"/>
      <c r="T51" s="15"/>
      <c r="U51" s="15">
        <v>153.71028817000001</v>
      </c>
      <c r="V51" s="15"/>
      <c r="W51" s="22"/>
      <c r="X51" s="15">
        <v>216.75066532</v>
      </c>
      <c r="Y51" s="22">
        <v>145.84687459</v>
      </c>
      <c r="Z51" s="15"/>
      <c r="AA51" s="15">
        <v>85.247467270000001</v>
      </c>
      <c r="AB51" s="22" t="s">
        <v>298</v>
      </c>
    </row>
    <row r="52" spans="11:28" ht="15" customHeight="1" thickBot="1" x14ac:dyDescent="0.25">
      <c r="K52" s="136">
        <v>47</v>
      </c>
      <c r="L52" s="15">
        <v>175.49411308000001</v>
      </c>
      <c r="M52" s="22">
        <v>84.541920880000006</v>
      </c>
      <c r="N52" s="15"/>
      <c r="O52" s="22"/>
      <c r="P52" s="15"/>
      <c r="Q52" s="22">
        <v>134.33614549999999</v>
      </c>
      <c r="R52" s="15"/>
      <c r="S52" s="22"/>
      <c r="T52" s="15"/>
      <c r="U52" s="15">
        <v>150.561803</v>
      </c>
      <c r="V52" s="15"/>
      <c r="W52" s="22"/>
      <c r="X52" s="15">
        <v>212.56537143</v>
      </c>
      <c r="Y52" s="22">
        <v>144.41270750999999</v>
      </c>
      <c r="Z52" s="15"/>
      <c r="AA52" s="15">
        <v>84.541920880000006</v>
      </c>
      <c r="AB52" s="22" t="s">
        <v>298</v>
      </c>
    </row>
    <row r="53" spans="11:28" ht="15" customHeight="1" thickBot="1" x14ac:dyDescent="0.25">
      <c r="K53" s="136">
        <v>48</v>
      </c>
      <c r="L53" s="15">
        <v>172.00537922000001</v>
      </c>
      <c r="M53" s="22">
        <v>83.865766129999997</v>
      </c>
      <c r="N53" s="15"/>
      <c r="O53" s="22"/>
      <c r="P53" s="15"/>
      <c r="Q53" s="22">
        <v>133.86516182</v>
      </c>
      <c r="R53" s="15"/>
      <c r="S53" s="22"/>
      <c r="T53" s="15"/>
      <c r="U53" s="15">
        <v>147.54447737000001</v>
      </c>
      <c r="V53" s="15"/>
      <c r="W53" s="22"/>
      <c r="X53" s="15">
        <v>208.55442847</v>
      </c>
      <c r="Y53" s="22">
        <v>143.03828493</v>
      </c>
      <c r="Z53" s="15"/>
      <c r="AA53" s="15">
        <v>83.865766129999997</v>
      </c>
      <c r="AB53" s="22" t="s">
        <v>298</v>
      </c>
    </row>
    <row r="54" spans="11:28" ht="15" customHeight="1" thickBot="1" x14ac:dyDescent="0.25">
      <c r="K54" s="136">
        <v>49</v>
      </c>
      <c r="L54" s="15">
        <v>168.65901360000001</v>
      </c>
      <c r="M54" s="22">
        <v>83.217203900000001</v>
      </c>
      <c r="N54" s="15"/>
      <c r="O54" s="22"/>
      <c r="P54" s="15"/>
      <c r="Q54" s="22">
        <v>133.41339801999999</v>
      </c>
      <c r="R54" s="15"/>
      <c r="S54" s="22"/>
      <c r="T54" s="15"/>
      <c r="U54" s="15">
        <v>144.65028276999999</v>
      </c>
      <c r="V54" s="15"/>
      <c r="W54" s="22"/>
      <c r="X54" s="15">
        <v>204.70716407</v>
      </c>
      <c r="Y54" s="22">
        <v>141.71994979999999</v>
      </c>
      <c r="Z54" s="15"/>
      <c r="AA54" s="15">
        <v>83.217203900000001</v>
      </c>
      <c r="AB54" s="22" t="s">
        <v>298</v>
      </c>
    </row>
    <row r="55" spans="11:28" ht="15" customHeight="1" thickBot="1" x14ac:dyDescent="0.25">
      <c r="K55" s="136">
        <v>50</v>
      </c>
      <c r="L55" s="15">
        <v>165.44647581999999</v>
      </c>
      <c r="M55" s="22">
        <v>82.594578970000001</v>
      </c>
      <c r="N55" s="15"/>
      <c r="O55" s="22"/>
      <c r="P55" s="15"/>
      <c r="Q55" s="22">
        <v>132.97970117</v>
      </c>
      <c r="R55" s="15"/>
      <c r="S55" s="22"/>
      <c r="T55" s="15"/>
      <c r="U55" s="15">
        <v>141.87183279999999</v>
      </c>
      <c r="V55" s="15"/>
      <c r="W55" s="22"/>
      <c r="X55" s="15">
        <v>201.01375948</v>
      </c>
      <c r="Y55" s="22">
        <v>140.45433752</v>
      </c>
      <c r="Z55" s="15"/>
      <c r="AA55" s="15">
        <v>82.594578970000001</v>
      </c>
      <c r="AB55" s="22" t="s">
        <v>298</v>
      </c>
    </row>
    <row r="56" spans="11:28" ht="15" customHeight="1" thickBot="1" x14ac:dyDescent="0.25">
      <c r="K56" s="136">
        <v>51</v>
      </c>
      <c r="L56" s="15">
        <v>162.35989523000001</v>
      </c>
      <c r="M56" s="22">
        <v>81.996365909999994</v>
      </c>
      <c r="N56" s="15"/>
      <c r="O56" s="22"/>
      <c r="P56" s="15"/>
      <c r="Q56" s="22">
        <v>132.56300870000001</v>
      </c>
      <c r="R56" s="15"/>
      <c r="S56" s="22"/>
      <c r="T56" s="15"/>
      <c r="U56" s="15">
        <v>139.2023203</v>
      </c>
      <c r="V56" s="15"/>
      <c r="W56" s="22"/>
      <c r="X56" s="15">
        <v>197.46516586999999</v>
      </c>
      <c r="Y56" s="22">
        <v>139.23834736000001</v>
      </c>
      <c r="Z56" s="15"/>
      <c r="AA56" s="15">
        <v>81.996365909999994</v>
      </c>
      <c r="AB56" s="22" t="s">
        <v>298</v>
      </c>
    </row>
    <row r="57" spans="11:28" ht="15" customHeight="1" thickBot="1" x14ac:dyDescent="0.25">
      <c r="K57" s="136">
        <v>52</v>
      </c>
      <c r="L57" s="15">
        <v>159.39200646</v>
      </c>
      <c r="M57" s="22">
        <v>81.421156640000007</v>
      </c>
      <c r="N57" s="15"/>
      <c r="O57" s="22"/>
      <c r="P57" s="15"/>
      <c r="Q57" s="22">
        <v>132.16233979</v>
      </c>
      <c r="R57" s="15"/>
      <c r="S57" s="22"/>
      <c r="T57" s="15"/>
      <c r="U57" s="15">
        <v>136.63546160999999</v>
      </c>
      <c r="V57" s="15"/>
      <c r="W57" s="22"/>
      <c r="X57" s="15">
        <v>194.05303039</v>
      </c>
      <c r="Y57" s="22">
        <v>138.06911708000001</v>
      </c>
      <c r="Z57" s="15"/>
      <c r="AA57" s="15">
        <v>81.421156640000007</v>
      </c>
      <c r="AB57" s="22" t="s">
        <v>298</v>
      </c>
    </row>
    <row r="58" spans="11:28" ht="15" customHeight="1" thickBot="1" x14ac:dyDescent="0.25">
      <c r="K58" s="136">
        <v>53</v>
      </c>
      <c r="L58" s="15">
        <v>156.53609236</v>
      </c>
      <c r="M58" s="22">
        <v>80.867649270000001</v>
      </c>
      <c r="N58" s="15"/>
      <c r="O58" s="22"/>
      <c r="P58" s="15"/>
      <c r="Q58" s="22">
        <v>131.77678760000001</v>
      </c>
      <c r="R58" s="15"/>
      <c r="S58" s="22"/>
      <c r="T58" s="15"/>
      <c r="U58" s="15"/>
      <c r="V58" s="15"/>
      <c r="W58" s="22"/>
      <c r="X58" s="15">
        <v>190.76963047000001</v>
      </c>
      <c r="Y58" s="22">
        <v>136.94400035999999</v>
      </c>
      <c r="Z58" s="15"/>
      <c r="AA58" s="15">
        <v>80.867649270000001</v>
      </c>
      <c r="AB58" s="22" t="s">
        <v>298</v>
      </c>
    </row>
    <row r="59" spans="11:28" ht="15" customHeight="1" thickBot="1" x14ac:dyDescent="0.25">
      <c r="K59" s="136">
        <v>54</v>
      </c>
      <c r="L59" s="15">
        <v>153.78593326999999</v>
      </c>
      <c r="M59" s="22">
        <v>80.334638380000001</v>
      </c>
      <c r="N59" s="15"/>
      <c r="O59" s="22"/>
      <c r="P59" s="15"/>
      <c r="Q59" s="22">
        <v>131.40551248</v>
      </c>
      <c r="R59" s="15"/>
      <c r="S59" s="22"/>
      <c r="T59" s="15"/>
      <c r="U59" s="15"/>
      <c r="V59" s="15"/>
      <c r="W59" s="22"/>
      <c r="X59" s="15">
        <v>187.60781542999999</v>
      </c>
      <c r="Y59" s="22">
        <v>135.86054691000001</v>
      </c>
      <c r="Z59" s="15"/>
      <c r="AA59" s="15">
        <v>80.334638380000001</v>
      </c>
      <c r="AB59" s="22" t="s">
        <v>298</v>
      </c>
    </row>
    <row r="60" spans="11:28" ht="15" customHeight="1" thickBot="1" x14ac:dyDescent="0.25">
      <c r="K60" s="136">
        <v>55</v>
      </c>
      <c r="L60" s="15">
        <v>151.13576179</v>
      </c>
      <c r="M60" s="22">
        <v>79.821006190000006</v>
      </c>
      <c r="N60" s="15"/>
      <c r="O60" s="22"/>
      <c r="P60" s="15"/>
      <c r="Q60" s="22">
        <v>131.04773582999999</v>
      </c>
      <c r="R60" s="15"/>
      <c r="S60" s="22"/>
      <c r="T60" s="15"/>
      <c r="U60" s="15"/>
      <c r="V60" s="15"/>
      <c r="W60" s="22"/>
      <c r="X60" s="15">
        <v>184.56095457000001</v>
      </c>
      <c r="Y60" s="22">
        <v>134.81648461</v>
      </c>
      <c r="Z60" s="15"/>
      <c r="AA60" s="15">
        <v>79.821006190000006</v>
      </c>
      <c r="AB60" s="22" t="s">
        <v>298</v>
      </c>
    </row>
    <row r="61" spans="11:28" ht="15" customHeight="1" thickBot="1" x14ac:dyDescent="0.25">
      <c r="K61" s="136">
        <v>56</v>
      </c>
      <c r="L61" s="15">
        <v>148.58022238000001</v>
      </c>
      <c r="M61" s="22">
        <v>79.325714719999993</v>
      </c>
      <c r="N61" s="15"/>
      <c r="O61" s="22"/>
      <c r="P61" s="15"/>
      <c r="Q61" s="22">
        <v>130.70273462</v>
      </c>
      <c r="R61" s="15"/>
      <c r="S61" s="22"/>
      <c r="T61" s="15"/>
      <c r="U61" s="15"/>
      <c r="V61" s="15"/>
      <c r="W61" s="22"/>
      <c r="X61" s="15">
        <v>181.62289072999999</v>
      </c>
      <c r="Y61" s="22">
        <v>133.80970359</v>
      </c>
      <c r="Z61" s="15"/>
      <c r="AA61" s="15">
        <v>79.325714719999993</v>
      </c>
      <c r="AB61" s="22" t="s">
        <v>298</v>
      </c>
    </row>
    <row r="62" spans="11:28" ht="15" customHeight="1" thickBot="1" x14ac:dyDescent="0.25">
      <c r="K62" s="136">
        <v>57</v>
      </c>
      <c r="L62" s="15">
        <v>146.11433529999999</v>
      </c>
      <c r="M62" s="22">
        <v>78.847798850000004</v>
      </c>
      <c r="N62" s="15"/>
      <c r="O62" s="22"/>
      <c r="P62" s="15"/>
      <c r="Q62" s="22">
        <v>130.36983660000001</v>
      </c>
      <c r="R62" s="15"/>
      <c r="S62" s="22"/>
      <c r="T62" s="15"/>
      <c r="U62" s="15"/>
      <c r="V62" s="15"/>
      <c r="W62" s="22"/>
      <c r="X62" s="15">
        <v>178.78789881</v>
      </c>
      <c r="Y62" s="22">
        <v>132.83824202</v>
      </c>
      <c r="Z62" s="15"/>
      <c r="AA62" s="15">
        <v>78.847798850000004</v>
      </c>
      <c r="AB62" s="22" t="s">
        <v>298</v>
      </c>
    </row>
    <row r="63" spans="11:28" ht="15" customHeight="1" thickBot="1" x14ac:dyDescent="0.25">
      <c r="K63" s="136">
        <v>58</v>
      </c>
      <c r="L63" s="15">
        <v>143.73346416000001</v>
      </c>
      <c r="M63" s="22">
        <v>78.386359999999996</v>
      </c>
      <c r="N63" s="15"/>
      <c r="O63" s="22"/>
      <c r="P63" s="15"/>
      <c r="Q63" s="22">
        <v>130.04841583999999</v>
      </c>
      <c r="R63" s="15"/>
      <c r="S63" s="22"/>
      <c r="T63" s="15"/>
      <c r="U63" s="15"/>
      <c r="V63" s="15"/>
      <c r="W63" s="22"/>
      <c r="X63" s="15">
        <v>176.05064834999999</v>
      </c>
      <c r="Y63" s="22">
        <v>131.90027336</v>
      </c>
      <c r="Z63" s="15"/>
      <c r="AA63" s="15">
        <v>78.386359999999996</v>
      </c>
      <c r="AB63" s="22" t="s">
        <v>298</v>
      </c>
    </row>
    <row r="64" spans="11:28" ht="15" customHeight="1" thickBot="1" x14ac:dyDescent="0.25">
      <c r="K64" s="136">
        <v>59</v>
      </c>
      <c r="L64" s="15">
        <v>141.43328682999999</v>
      </c>
      <c r="M64" s="22">
        <v>77.940560500000004</v>
      </c>
      <c r="N64" s="15"/>
      <c r="O64" s="22"/>
      <c r="P64" s="15"/>
      <c r="Q64" s="22">
        <v>129.73788884999999</v>
      </c>
      <c r="R64" s="15"/>
      <c r="S64" s="22"/>
      <c r="T64" s="15"/>
      <c r="U64" s="15"/>
      <c r="V64" s="15"/>
      <c r="W64" s="22"/>
      <c r="X64" s="15">
        <v>173.40617032</v>
      </c>
      <c r="Y64" s="22">
        <v>130.99409485000001</v>
      </c>
      <c r="Z64" s="15"/>
      <c r="AA64" s="15">
        <v>77.940560500000004</v>
      </c>
      <c r="AB64" s="22" t="s">
        <v>298</v>
      </c>
    </row>
    <row r="65" spans="11:28" ht="15" customHeight="1" thickBot="1" x14ac:dyDescent="0.25">
      <c r="K65" s="136">
        <v>60</v>
      </c>
      <c r="L65" s="15">
        <v>139.2097693</v>
      </c>
      <c r="M65" s="22">
        <v>77.509618500000002</v>
      </c>
      <c r="N65" s="15"/>
      <c r="O65" s="22"/>
      <c r="P65" s="15"/>
      <c r="Q65" s="22">
        <v>129.43771104999999</v>
      </c>
      <c r="R65" s="15"/>
      <c r="S65" s="22"/>
      <c r="T65" s="15"/>
      <c r="U65" s="15"/>
      <c r="V65" s="15"/>
      <c r="W65" s="22"/>
      <c r="X65" s="15">
        <v>170.84982687999999</v>
      </c>
      <c r="Y65" s="22">
        <v>130.11811727</v>
      </c>
      <c r="Z65" s="15"/>
      <c r="AA65" s="15">
        <v>77.509618500000002</v>
      </c>
      <c r="AB65" s="22" t="s">
        <v>298</v>
      </c>
    </row>
    <row r="66" spans="11:28" ht="15" customHeight="1" thickBot="1" x14ac:dyDescent="0.25">
      <c r="K66" s="136">
        <v>61</v>
      </c>
      <c r="L66" s="15">
        <v>137.05914204000001</v>
      </c>
      <c r="M66" s="22">
        <v>77.092803430000004</v>
      </c>
      <c r="N66" s="15"/>
      <c r="O66" s="22"/>
      <c r="P66" s="15"/>
      <c r="Q66" s="22">
        <v>129.14737350999999</v>
      </c>
      <c r="R66" s="15"/>
      <c r="S66" s="22"/>
      <c r="T66" s="15"/>
      <c r="U66" s="15"/>
      <c r="V66" s="15"/>
      <c r="W66" s="22"/>
      <c r="X66" s="15"/>
      <c r="Y66" s="22">
        <v>129.27085554000001</v>
      </c>
      <c r="Z66" s="15"/>
      <c r="AA66" s="15">
        <v>77.092803430000004</v>
      </c>
      <c r="AB66" s="22" t="s">
        <v>298</v>
      </c>
    </row>
    <row r="67" spans="11:28" ht="15" customHeight="1" thickBot="1" x14ac:dyDescent="0.25">
      <c r="K67" s="136">
        <v>62</v>
      </c>
      <c r="L67" s="15">
        <v>134.97787865000001</v>
      </c>
      <c r="M67" s="22">
        <v>76.689431839999997</v>
      </c>
      <c r="N67" s="15"/>
      <c r="O67" s="22"/>
      <c r="P67" s="15"/>
      <c r="Q67" s="22">
        <v>128.86640020999999</v>
      </c>
      <c r="R67" s="15"/>
      <c r="S67" s="22"/>
      <c r="T67" s="15"/>
      <c r="U67" s="15"/>
      <c r="V67" s="15"/>
      <c r="W67" s="22"/>
      <c r="X67" s="15"/>
      <c r="Y67" s="22">
        <v>128.45092044</v>
      </c>
      <c r="Z67" s="15"/>
      <c r="AA67" s="15">
        <v>76.689431839999997</v>
      </c>
      <c r="AB67" s="22" t="s">
        <v>298</v>
      </c>
    </row>
    <row r="68" spans="11:28" ht="15" customHeight="1" thickBot="1" x14ac:dyDescent="0.25">
      <c r="K68" s="136">
        <v>63</v>
      </c>
      <c r="L68" s="15">
        <v>132.96267664999999</v>
      </c>
      <c r="M68" s="22">
        <v>76.298863670000003</v>
      </c>
      <c r="N68" s="15"/>
      <c r="O68" s="22"/>
      <c r="P68" s="15"/>
      <c r="Q68" s="22">
        <v>128.59434526000001</v>
      </c>
      <c r="R68" s="15"/>
      <c r="S68" s="22"/>
      <c r="T68" s="15"/>
      <c r="U68" s="15"/>
      <c r="V68" s="15"/>
      <c r="W68" s="22"/>
      <c r="X68" s="15"/>
      <c r="Y68" s="22">
        <v>127.65701089</v>
      </c>
      <c r="Z68" s="15"/>
      <c r="AA68" s="15">
        <v>76.298863670000003</v>
      </c>
      <c r="AB68" s="22" t="s">
        <v>298</v>
      </c>
    </row>
    <row r="69" spans="11:28" ht="15" customHeight="1" thickBot="1" x14ac:dyDescent="0.25">
      <c r="K69" s="136">
        <v>64</v>
      </c>
      <c r="L69" s="15">
        <v>131.01043985999999</v>
      </c>
      <c r="M69" s="22">
        <v>75.920498850000001</v>
      </c>
      <c r="N69" s="15"/>
      <c r="O69" s="22"/>
      <c r="P69" s="15"/>
      <c r="Q69" s="22">
        <v>128.33079071</v>
      </c>
      <c r="R69" s="15"/>
      <c r="S69" s="22"/>
      <c r="T69" s="15"/>
      <c r="U69" s="15"/>
      <c r="V69" s="15"/>
      <c r="W69" s="22"/>
      <c r="X69" s="15"/>
      <c r="Y69" s="22">
        <v>126.88790714</v>
      </c>
      <c r="Z69" s="15"/>
      <c r="AA69" s="15">
        <v>75.920498850000001</v>
      </c>
      <c r="AB69" s="22" t="s">
        <v>298</v>
      </c>
    </row>
    <row r="70" spans="11:28" ht="15" customHeight="1" thickBot="1" x14ac:dyDescent="0.25">
      <c r="K70" s="136">
        <v>65</v>
      </c>
      <c r="L70" s="15">
        <v>129.11826266</v>
      </c>
      <c r="M70" s="22">
        <v>75.553774230000002</v>
      </c>
      <c r="N70" s="15"/>
      <c r="O70" s="22"/>
      <c r="P70" s="15"/>
      <c r="Q70" s="22">
        <v>128.07534429</v>
      </c>
      <c r="R70" s="15"/>
      <c r="S70" s="22"/>
      <c r="T70" s="15"/>
      <c r="U70" s="15"/>
      <c r="V70" s="15"/>
      <c r="W70" s="22"/>
      <c r="X70" s="15"/>
      <c r="Y70" s="22">
        <v>126.14246448999999</v>
      </c>
      <c r="Z70" s="15"/>
      <c r="AA70" s="15">
        <v>75.553774230000002</v>
      </c>
      <c r="AB70" s="22" t="s">
        <v>298</v>
      </c>
    </row>
    <row r="71" spans="11:28" ht="15" customHeight="1" thickBot="1" x14ac:dyDescent="0.25">
      <c r="K71" s="136">
        <v>66</v>
      </c>
      <c r="L71" s="15">
        <v>127.28341546999999</v>
      </c>
      <c r="M71" s="22">
        <v>75.198160790000003</v>
      </c>
      <c r="N71" s="15"/>
      <c r="O71" s="22"/>
      <c r="P71" s="15"/>
      <c r="Q71" s="22">
        <v>127.82763748000001</v>
      </c>
      <c r="R71" s="15"/>
      <c r="S71" s="22"/>
      <c r="T71" s="15"/>
      <c r="U71" s="15"/>
      <c r="V71" s="15"/>
      <c r="W71" s="22"/>
      <c r="X71" s="15"/>
      <c r="Y71" s="22">
        <v>125.41960757</v>
      </c>
      <c r="Z71" s="15"/>
      <c r="AA71" s="15">
        <v>75.198160790000003</v>
      </c>
      <c r="AB71" s="22" t="s">
        <v>298</v>
      </c>
    </row>
    <row r="72" spans="11:28" ht="15" customHeight="1" thickBot="1" x14ac:dyDescent="0.25">
      <c r="K72" s="136">
        <v>67</v>
      </c>
      <c r="L72" s="15">
        <v>125.50333166999999</v>
      </c>
      <c r="M72" s="22">
        <v>74.85316109</v>
      </c>
      <c r="N72" s="15"/>
      <c r="O72" s="22"/>
      <c r="P72" s="15"/>
      <c r="Q72" s="22">
        <v>127.58732381999999</v>
      </c>
      <c r="R72" s="15"/>
      <c r="S72" s="22"/>
      <c r="T72" s="15"/>
      <c r="U72" s="15"/>
      <c r="V72" s="15"/>
      <c r="W72" s="22"/>
      <c r="X72" s="15"/>
      <c r="Y72" s="22">
        <v>124.71832525000001</v>
      </c>
      <c r="Z72" s="15"/>
      <c r="AA72" s="15">
        <v>74.85316109</v>
      </c>
      <c r="AB72" s="22" t="s">
        <v>298</v>
      </c>
    </row>
    <row r="73" spans="11:28" ht="15" customHeight="1" thickBot="1" x14ac:dyDescent="0.25">
      <c r="K73" s="136">
        <v>68</v>
      </c>
      <c r="L73" s="15">
        <v>123.77559558</v>
      </c>
      <c r="M73" s="22">
        <v>74.518306949999996</v>
      </c>
      <c r="N73" s="15"/>
      <c r="O73" s="22"/>
      <c r="P73" s="15"/>
      <c r="Q73" s="22">
        <v>127.35407716</v>
      </c>
      <c r="R73" s="15"/>
      <c r="S73" s="22"/>
      <c r="T73" s="15"/>
      <c r="U73" s="15"/>
      <c r="V73" s="15"/>
      <c r="W73" s="22"/>
      <c r="X73" s="15"/>
      <c r="Y73" s="22">
        <v>124.03766586</v>
      </c>
      <c r="Z73" s="15"/>
      <c r="AA73" s="15">
        <v>74.518306949999996</v>
      </c>
      <c r="AB73" s="22" t="s">
        <v>298</v>
      </c>
    </row>
    <row r="74" spans="11:28" ht="15" customHeight="1" thickBot="1" x14ac:dyDescent="0.25">
      <c r="K74" s="136">
        <v>69</v>
      </c>
      <c r="L74" s="15">
        <v>122.09793153</v>
      </c>
      <c r="M74" s="22">
        <v>74.193157319999997</v>
      </c>
      <c r="N74" s="15"/>
      <c r="O74" s="22"/>
      <c r="P74" s="15"/>
      <c r="Q74" s="22">
        <v>127.12759029</v>
      </c>
      <c r="R74" s="15"/>
      <c r="S74" s="22"/>
      <c r="T74" s="15"/>
      <c r="U74" s="15"/>
      <c r="V74" s="15"/>
      <c r="W74" s="22"/>
      <c r="X74" s="15"/>
      <c r="Y74" s="22">
        <v>123.37673286</v>
      </c>
      <c r="Z74" s="15"/>
      <c r="AA74" s="15">
        <v>74.193157319999997</v>
      </c>
      <c r="AB74" s="22" t="s">
        <v>298</v>
      </c>
    </row>
    <row r="75" spans="11:28" ht="15" customHeight="1" thickBot="1" x14ac:dyDescent="0.25">
      <c r="K75" s="136">
        <v>70</v>
      </c>
      <c r="L75" s="15">
        <v>120.4681939</v>
      </c>
      <c r="M75" s="22">
        <v>73.877296360000003</v>
      </c>
      <c r="N75" s="15"/>
      <c r="O75" s="22"/>
      <c r="P75" s="15"/>
      <c r="Q75" s="22">
        <v>126.90757355</v>
      </c>
      <c r="R75" s="15"/>
      <c r="S75" s="22"/>
      <c r="T75" s="15"/>
      <c r="U75" s="15"/>
      <c r="V75" s="15"/>
      <c r="W75" s="22"/>
      <c r="X75" s="15"/>
      <c r="Y75" s="22">
        <v>122.73468097999999</v>
      </c>
      <c r="Z75" s="15"/>
      <c r="AA75" s="15">
        <v>73.877296360000003</v>
      </c>
      <c r="AB75" s="22" t="s">
        <v>298</v>
      </c>
    </row>
    <row r="76" spans="11:28" ht="15" customHeight="1" thickBot="1" x14ac:dyDescent="0.25">
      <c r="K76" s="136">
        <v>71</v>
      </c>
      <c r="L76" s="15"/>
      <c r="M76" s="22">
        <v>73.570331640000006</v>
      </c>
      <c r="N76" s="15"/>
      <c r="O76" s="22"/>
      <c r="P76" s="15"/>
      <c r="Q76" s="22">
        <v>126.69375359999999</v>
      </c>
      <c r="R76" s="15"/>
      <c r="S76" s="22"/>
      <c r="T76" s="15"/>
      <c r="U76" s="15"/>
      <c r="V76" s="15"/>
      <c r="W76" s="22"/>
      <c r="X76" s="15"/>
      <c r="Y76" s="22">
        <v>122.11071250000001</v>
      </c>
      <c r="Z76" s="15"/>
      <c r="AA76" s="15">
        <v>73.570331640000006</v>
      </c>
      <c r="AB76" s="22" t="s">
        <v>298</v>
      </c>
    </row>
    <row r="77" spans="11:28" ht="15" customHeight="1" thickBot="1" x14ac:dyDescent="0.25">
      <c r="K77" s="136">
        <v>72</v>
      </c>
      <c r="L77" s="15"/>
      <c r="M77" s="22">
        <v>73.271892530000002</v>
      </c>
      <c r="N77" s="15"/>
      <c r="O77" s="22"/>
      <c r="P77" s="15"/>
      <c r="Q77" s="22">
        <v>126.48587225999999</v>
      </c>
      <c r="R77" s="15"/>
      <c r="S77" s="22"/>
      <c r="T77" s="15"/>
      <c r="U77" s="15"/>
      <c r="V77" s="15"/>
      <c r="W77" s="22"/>
      <c r="X77" s="15"/>
      <c r="Y77" s="22">
        <v>121.50407408</v>
      </c>
      <c r="Z77" s="15"/>
      <c r="AA77" s="15">
        <v>73.271892530000002</v>
      </c>
      <c r="AB77" s="22" t="s">
        <v>298</v>
      </c>
    </row>
    <row r="78" spans="11:28" ht="15" customHeight="1" thickBot="1" x14ac:dyDescent="0.25">
      <c r="K78" s="136">
        <v>73</v>
      </c>
      <c r="L78" s="15"/>
      <c r="M78" s="22">
        <v>72.981628709999995</v>
      </c>
      <c r="N78" s="15"/>
      <c r="O78" s="22"/>
      <c r="P78" s="15"/>
      <c r="Q78" s="22">
        <v>126.28368552000001</v>
      </c>
      <c r="R78" s="15"/>
      <c r="S78" s="22"/>
      <c r="T78" s="15"/>
      <c r="U78" s="15"/>
      <c r="V78" s="15"/>
      <c r="W78" s="22"/>
      <c r="X78" s="15"/>
      <c r="Y78" s="22">
        <v>120.91405362</v>
      </c>
      <c r="Z78" s="15"/>
      <c r="AA78" s="15">
        <v>72.981628709999995</v>
      </c>
      <c r="AB78" s="22" t="s">
        <v>298</v>
      </c>
    </row>
    <row r="79" spans="11:28" ht="15" customHeight="1" thickBot="1" x14ac:dyDescent="0.25">
      <c r="K79" s="136">
        <v>74</v>
      </c>
      <c r="L79" s="15"/>
      <c r="M79" s="22">
        <v>72.699208799999994</v>
      </c>
      <c r="N79" s="15"/>
      <c r="O79" s="22"/>
      <c r="P79" s="15"/>
      <c r="Q79" s="22">
        <v>126.08696255</v>
      </c>
      <c r="R79" s="15"/>
      <c r="S79" s="22"/>
      <c r="T79" s="15"/>
      <c r="U79" s="15"/>
      <c r="V79" s="15"/>
      <c r="W79" s="22"/>
      <c r="X79" s="15"/>
      <c r="Y79" s="22">
        <v>120.33997749</v>
      </c>
      <c r="Z79" s="15"/>
      <c r="AA79" s="15">
        <v>72.699208799999994</v>
      </c>
      <c r="AB79" s="22" t="s">
        <v>298</v>
      </c>
    </row>
    <row r="80" spans="11:28" ht="15" customHeight="1" thickBot="1" x14ac:dyDescent="0.25">
      <c r="K80" s="136">
        <v>75</v>
      </c>
      <c r="L80" s="15"/>
      <c r="M80" s="22">
        <v>72.424319080000004</v>
      </c>
      <c r="N80" s="15"/>
      <c r="O80" s="22"/>
      <c r="P80" s="15"/>
      <c r="Q80" s="22">
        <v>125.89548481999999</v>
      </c>
      <c r="R80" s="15"/>
      <c r="S80" s="22"/>
      <c r="T80" s="15"/>
      <c r="U80" s="15"/>
      <c r="V80" s="15"/>
      <c r="W80" s="22"/>
      <c r="X80" s="15"/>
      <c r="Y80" s="22">
        <v>119.78120803</v>
      </c>
      <c r="Z80" s="15"/>
      <c r="AA80" s="15">
        <v>72.424319080000004</v>
      </c>
      <c r="AB80" s="22" t="s">
        <v>298</v>
      </c>
    </row>
    <row r="81" spans="11:28" ht="15" customHeight="1" thickBot="1" x14ac:dyDescent="0.25">
      <c r="K81" s="136">
        <v>76</v>
      </c>
      <c r="L81" s="15"/>
      <c r="M81" s="22">
        <v>72.156662350000005</v>
      </c>
      <c r="N81" s="15"/>
      <c r="O81" s="22"/>
      <c r="P81" s="15"/>
      <c r="Q81" s="22">
        <v>125.70904532</v>
      </c>
      <c r="R81" s="15"/>
      <c r="S81" s="22"/>
      <c r="T81" s="15"/>
      <c r="U81" s="15"/>
      <c r="V81" s="15"/>
      <c r="W81" s="22"/>
      <c r="X81" s="15"/>
      <c r="Y81" s="22">
        <v>119.23714108</v>
      </c>
      <c r="Z81" s="15"/>
      <c r="AA81" s="15">
        <v>72.156662350000005</v>
      </c>
      <c r="AB81" s="22" t="s">
        <v>298</v>
      </c>
    </row>
    <row r="82" spans="11:28" ht="15" customHeight="1" thickBot="1" x14ac:dyDescent="0.25">
      <c r="K82" s="136">
        <v>77</v>
      </c>
      <c r="L82" s="15"/>
      <c r="M82" s="22">
        <v>71.895956850000005</v>
      </c>
      <c r="N82" s="15"/>
      <c r="O82" s="22"/>
      <c r="P82" s="15"/>
      <c r="Q82" s="22">
        <v>125.52744778</v>
      </c>
      <c r="R82" s="15"/>
      <c r="S82" s="22"/>
      <c r="T82" s="15"/>
      <c r="U82" s="15"/>
      <c r="V82" s="15"/>
      <c r="W82" s="22"/>
      <c r="X82" s="15"/>
      <c r="Y82" s="22">
        <v>118.70720391</v>
      </c>
      <c r="Z82" s="15"/>
      <c r="AA82" s="15">
        <v>71.895956850000005</v>
      </c>
      <c r="AB82" s="22" t="s">
        <v>298</v>
      </c>
    </row>
    <row r="83" spans="11:28" ht="15" customHeight="1" thickBot="1" x14ac:dyDescent="0.25">
      <c r="K83" s="136">
        <v>78</v>
      </c>
      <c r="L83" s="15"/>
      <c r="M83" s="22">
        <v>71.641935239999995</v>
      </c>
      <c r="N83" s="15"/>
      <c r="O83" s="22"/>
      <c r="P83" s="15"/>
      <c r="Q83" s="22">
        <v>125.35050599</v>
      </c>
      <c r="R83" s="15"/>
      <c r="S83" s="22"/>
      <c r="T83" s="15"/>
      <c r="U83" s="15"/>
      <c r="V83" s="15"/>
      <c r="W83" s="22"/>
      <c r="X83" s="15"/>
      <c r="Y83" s="22">
        <v>118.19085314</v>
      </c>
      <c r="Z83" s="15"/>
      <c r="AA83" s="15">
        <v>71.641935239999995</v>
      </c>
      <c r="AB83" s="22" t="s">
        <v>298</v>
      </c>
    </row>
    <row r="84" spans="11:28" ht="15" customHeight="1" thickBot="1" x14ac:dyDescent="0.25">
      <c r="K84" s="136">
        <v>79</v>
      </c>
      <c r="L84" s="15"/>
      <c r="M84" s="22">
        <v>71.394343750000004</v>
      </c>
      <c r="N84" s="15"/>
      <c r="O84" s="22"/>
      <c r="P84" s="15"/>
      <c r="Q84" s="22">
        <v>125.17804316</v>
      </c>
      <c r="R84" s="15"/>
      <c r="S84" s="22"/>
      <c r="T84" s="15"/>
      <c r="U84" s="15"/>
      <c r="V84" s="15"/>
      <c r="W84" s="22"/>
      <c r="X84" s="15"/>
      <c r="Y84" s="22">
        <v>117.68757288</v>
      </c>
      <c r="Z84" s="15"/>
      <c r="AA84" s="15">
        <v>71.394343750000004</v>
      </c>
      <c r="AB84" s="22" t="s">
        <v>298</v>
      </c>
    </row>
    <row r="85" spans="11:28" ht="15" customHeight="1" thickBot="1" x14ac:dyDescent="0.25">
      <c r="K85" s="136">
        <v>80</v>
      </c>
      <c r="L85" s="15"/>
      <c r="M85" s="22">
        <v>71.152941260000006</v>
      </c>
      <c r="N85" s="15"/>
      <c r="O85" s="22"/>
      <c r="P85" s="15"/>
      <c r="Q85" s="22">
        <v>125.00989138</v>
      </c>
      <c r="R85" s="15"/>
      <c r="S85" s="22"/>
      <c r="T85" s="15"/>
      <c r="U85" s="15"/>
      <c r="V85" s="15"/>
      <c r="W85" s="22"/>
      <c r="X85" s="15"/>
      <c r="Y85" s="22">
        <v>117.19687304999999</v>
      </c>
      <c r="Z85" s="15"/>
      <c r="AA85" s="15">
        <v>71.152941260000006</v>
      </c>
      <c r="AB85" s="22" t="s">
        <v>298</v>
      </c>
    </row>
    <row r="86" spans="11:28" ht="15" customHeight="1" thickBot="1" x14ac:dyDescent="0.25">
      <c r="K86" s="136">
        <v>81</v>
      </c>
      <c r="L86" s="15"/>
      <c r="M86" s="22">
        <v>70.917498600000002</v>
      </c>
      <c r="N86" s="15"/>
      <c r="O86" s="22"/>
      <c r="P86" s="15"/>
      <c r="Q86" s="22">
        <v>124.84589097</v>
      </c>
      <c r="R86" s="15"/>
      <c r="S86" s="22"/>
      <c r="T86" s="15"/>
      <c r="U86" s="15"/>
      <c r="V86" s="15"/>
      <c r="W86" s="22"/>
      <c r="X86" s="15"/>
      <c r="Y86" s="22">
        <v>116.71828777</v>
      </c>
      <c r="Z86" s="15"/>
      <c r="AA86" s="15">
        <v>70.917498600000002</v>
      </c>
      <c r="AB86" s="22" t="s">
        <v>298</v>
      </c>
    </row>
    <row r="87" spans="11:28" ht="15" customHeight="1" thickBot="1" x14ac:dyDescent="0.25">
      <c r="K87" s="136">
        <v>82</v>
      </c>
      <c r="L87" s="15"/>
      <c r="M87" s="22">
        <v>70.687797739999993</v>
      </c>
      <c r="N87" s="15"/>
      <c r="O87" s="22"/>
      <c r="P87" s="15"/>
      <c r="Q87" s="22">
        <v>124.68589009</v>
      </c>
      <c r="R87" s="15"/>
      <c r="S87" s="22"/>
      <c r="T87" s="15"/>
      <c r="U87" s="15"/>
      <c r="V87" s="15"/>
      <c r="W87" s="22"/>
      <c r="X87" s="15"/>
      <c r="Y87" s="22">
        <v>116.25137389</v>
      </c>
      <c r="Z87" s="15"/>
      <c r="AA87" s="15">
        <v>70.687797739999993</v>
      </c>
      <c r="AB87" s="22" t="s">
        <v>298</v>
      </c>
    </row>
    <row r="88" spans="11:28" ht="15" customHeight="1" thickBot="1" x14ac:dyDescent="0.25">
      <c r="K88" s="136">
        <v>83</v>
      </c>
      <c r="L88" s="15"/>
      <c r="M88" s="22">
        <v>70.463631179999993</v>
      </c>
      <c r="N88" s="15"/>
      <c r="O88" s="22"/>
      <c r="P88" s="15"/>
      <c r="Q88" s="22">
        <v>124.52974417999999</v>
      </c>
      <c r="R88" s="15"/>
      <c r="S88" s="22"/>
      <c r="T88" s="15"/>
      <c r="U88" s="15"/>
      <c r="V88" s="15"/>
      <c r="W88" s="22"/>
      <c r="X88" s="15"/>
      <c r="Y88" s="22">
        <v>115.79570957999999</v>
      </c>
      <c r="Z88" s="15"/>
      <c r="AA88" s="15">
        <v>70.463631179999993</v>
      </c>
      <c r="AB88" s="22" t="s">
        <v>298</v>
      </c>
    </row>
    <row r="89" spans="11:28" ht="15" customHeight="1" thickBot="1" x14ac:dyDescent="0.25">
      <c r="K89" s="136">
        <v>84</v>
      </c>
      <c r="L89" s="15"/>
      <c r="M89" s="22"/>
      <c r="N89" s="15"/>
      <c r="O89" s="22"/>
      <c r="P89" s="15"/>
      <c r="Q89" s="22"/>
      <c r="R89" s="15"/>
      <c r="S89" s="22"/>
      <c r="T89" s="15"/>
      <c r="U89" s="15"/>
      <c r="V89" s="15"/>
      <c r="W89" s="22"/>
      <c r="X89" s="15"/>
      <c r="Y89" s="22"/>
      <c r="Z89" s="15"/>
      <c r="AA89" s="15"/>
      <c r="AB89" s="22"/>
    </row>
    <row r="90" spans="11:28" ht="15" customHeight="1" thickBot="1" x14ac:dyDescent="0.25">
      <c r="K90" s="136">
        <v>85</v>
      </c>
      <c r="L90" s="15"/>
      <c r="M90" s="22"/>
      <c r="N90" s="15"/>
      <c r="O90" s="22"/>
      <c r="P90" s="15"/>
      <c r="Q90" s="22"/>
      <c r="R90" s="15"/>
      <c r="S90" s="22"/>
      <c r="T90" s="15"/>
      <c r="U90" s="15"/>
      <c r="V90" s="15"/>
      <c r="W90" s="22"/>
      <c r="X90" s="15"/>
      <c r="Y90" s="22"/>
      <c r="Z90" s="15"/>
      <c r="AA90" s="15"/>
      <c r="AB90" s="22"/>
    </row>
    <row r="91" spans="11:28" ht="15" customHeight="1" thickBot="1" x14ac:dyDescent="0.25">
      <c r="K91" s="136">
        <v>86</v>
      </c>
      <c r="L91" s="15"/>
      <c r="M91" s="22"/>
      <c r="N91" s="15"/>
      <c r="O91" s="22"/>
      <c r="P91" s="15"/>
      <c r="Q91" s="22"/>
      <c r="R91" s="15"/>
      <c r="S91" s="22"/>
      <c r="T91" s="15"/>
      <c r="U91" s="15"/>
      <c r="V91" s="15"/>
      <c r="W91" s="22"/>
      <c r="X91" s="15"/>
      <c r="Y91" s="22"/>
      <c r="Z91" s="15"/>
      <c r="AA91" s="15"/>
      <c r="AB91" s="22"/>
    </row>
    <row r="92" spans="11:28" ht="15" customHeight="1" thickBot="1" x14ac:dyDescent="0.25">
      <c r="K92" s="136">
        <v>87</v>
      </c>
      <c r="L92" s="15"/>
      <c r="M92" s="22"/>
      <c r="N92" s="15"/>
      <c r="O92" s="22"/>
      <c r="P92" s="15"/>
      <c r="Q92" s="22"/>
      <c r="R92" s="15"/>
      <c r="S92" s="22"/>
      <c r="T92" s="15"/>
      <c r="U92" s="15"/>
      <c r="V92" s="15"/>
      <c r="W92" s="22"/>
      <c r="X92" s="15"/>
      <c r="Y92" s="22"/>
      <c r="Z92" s="15"/>
      <c r="AA92" s="15"/>
      <c r="AB92" s="22"/>
    </row>
    <row r="93" spans="11:28" ht="15" customHeight="1" thickBot="1" x14ac:dyDescent="0.25">
      <c r="K93" s="136">
        <v>88</v>
      </c>
      <c r="L93" s="15"/>
      <c r="M93" s="22"/>
      <c r="N93" s="15"/>
      <c r="O93" s="22"/>
      <c r="P93" s="15"/>
      <c r="Q93" s="22"/>
      <c r="R93" s="15"/>
      <c r="S93" s="22"/>
      <c r="T93" s="15"/>
      <c r="U93" s="15"/>
      <c r="V93" s="15"/>
      <c r="W93" s="22"/>
      <c r="X93" s="15"/>
      <c r="Y93" s="22"/>
      <c r="Z93" s="15"/>
      <c r="AA93" s="15"/>
      <c r="AB93" s="22"/>
    </row>
    <row r="94" spans="11:28" ht="15" customHeight="1" thickBot="1" x14ac:dyDescent="0.25">
      <c r="K94" s="136">
        <v>89</v>
      </c>
      <c r="L94" s="15"/>
      <c r="M94" s="22"/>
      <c r="N94" s="15"/>
      <c r="O94" s="22"/>
      <c r="P94" s="15"/>
      <c r="Q94" s="22"/>
      <c r="R94" s="15"/>
      <c r="S94" s="22"/>
      <c r="T94" s="15"/>
      <c r="U94" s="15"/>
      <c r="V94" s="15"/>
      <c r="W94" s="22"/>
      <c r="X94" s="15"/>
      <c r="Y94" s="22"/>
      <c r="Z94" s="15"/>
      <c r="AA94" s="15"/>
      <c r="AB94" s="22"/>
    </row>
    <row r="95" spans="11:28" ht="15" customHeight="1" thickBot="1" x14ac:dyDescent="0.25">
      <c r="K95" s="136">
        <v>90</v>
      </c>
      <c r="L95" s="15"/>
      <c r="M95" s="22"/>
      <c r="N95" s="15"/>
      <c r="O95" s="22"/>
      <c r="P95" s="15"/>
      <c r="Q95" s="22"/>
      <c r="R95" s="15"/>
      <c r="S95" s="22"/>
      <c r="T95" s="15"/>
      <c r="U95" s="15"/>
      <c r="V95" s="15"/>
      <c r="W95" s="22"/>
      <c r="X95" s="15"/>
      <c r="Y95" s="22"/>
      <c r="Z95" s="15"/>
      <c r="AA95" s="15"/>
      <c r="AB95" s="22"/>
    </row>
  </sheetData>
  <hyperlinks>
    <hyperlink ref="A1" location="Index!A1" display="Back to Index tab"/>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5"/>
  <sheetViews>
    <sheetView showGridLines="0" zoomScaleNormal="100" workbookViewId="0"/>
  </sheetViews>
  <sheetFormatPr defaultRowHeight="15" customHeight="1" x14ac:dyDescent="0.2"/>
  <cols>
    <col min="1" max="27" width="9" style="2"/>
    <col min="28" max="28" width="13.375" style="2" bestFit="1" customWidth="1"/>
    <col min="29" max="16384" width="9" style="2"/>
  </cols>
  <sheetData>
    <row r="1" spans="1:28" ht="15" customHeight="1" x14ac:dyDescent="0.2">
      <c r="A1" s="101" t="s">
        <v>487</v>
      </c>
    </row>
    <row r="3" spans="1:28" s="103" customFormat="1" ht="15" customHeight="1" x14ac:dyDescent="0.2">
      <c r="A3" s="1" t="s">
        <v>427</v>
      </c>
      <c r="K3" s="1" t="s">
        <v>316</v>
      </c>
    </row>
    <row r="4" spans="1:28" ht="45" customHeight="1" thickBot="1" x14ac:dyDescent="0.25">
      <c r="A4" s="109"/>
      <c r="B4" s="109"/>
      <c r="C4" s="109"/>
      <c r="D4" s="109"/>
      <c r="E4" s="109"/>
      <c r="F4" s="109"/>
      <c r="G4" s="109"/>
      <c r="H4" s="109"/>
      <c r="I4" s="109"/>
      <c r="K4" s="34" t="s">
        <v>296</v>
      </c>
      <c r="L4" s="34" t="s">
        <v>251</v>
      </c>
      <c r="M4" s="34" t="s">
        <v>5</v>
      </c>
      <c r="N4" s="34" t="s">
        <v>297</v>
      </c>
      <c r="O4" s="34" t="s">
        <v>298</v>
      </c>
      <c r="P4" s="34" t="s">
        <v>302</v>
      </c>
      <c r="Q4" s="34" t="s">
        <v>303</v>
      </c>
      <c r="R4" s="34" t="s">
        <v>304</v>
      </c>
      <c r="S4" s="34" t="s">
        <v>305</v>
      </c>
      <c r="T4" s="34" t="s">
        <v>306</v>
      </c>
      <c r="U4" s="34" t="s">
        <v>312</v>
      </c>
      <c r="V4" s="34" t="s">
        <v>307</v>
      </c>
      <c r="W4" s="34" t="s">
        <v>308</v>
      </c>
      <c r="X4" s="34" t="s">
        <v>309</v>
      </c>
      <c r="Y4" s="34" t="s">
        <v>310</v>
      </c>
      <c r="Z4" s="34" t="s">
        <v>311</v>
      </c>
      <c r="AA4" s="34" t="s">
        <v>313</v>
      </c>
      <c r="AB4" s="34" t="s">
        <v>314</v>
      </c>
    </row>
    <row r="5" spans="1:28" ht="15" customHeight="1" thickBot="1" x14ac:dyDescent="0.25">
      <c r="A5" s="109"/>
      <c r="B5" s="109"/>
      <c r="C5" s="109"/>
      <c r="D5" s="109"/>
      <c r="E5" s="109"/>
      <c r="F5" s="109"/>
      <c r="G5" s="109"/>
      <c r="H5" s="109"/>
      <c r="I5" s="109"/>
      <c r="K5" s="136">
        <v>0</v>
      </c>
      <c r="L5" s="8">
        <v>336436.55614263</v>
      </c>
      <c r="M5" s="46">
        <v>773111.61520464998</v>
      </c>
      <c r="N5" s="8">
        <v>308715.20246109</v>
      </c>
      <c r="O5" s="46">
        <v>151585.04786806001</v>
      </c>
      <c r="P5" s="46">
        <v>105922.95673753</v>
      </c>
      <c r="Q5" s="8">
        <v>312356.33301603998</v>
      </c>
      <c r="R5" s="46">
        <v>210941.70951556999</v>
      </c>
      <c r="S5" s="8">
        <v>249873.37251307</v>
      </c>
      <c r="T5" s="8">
        <v>681001.85128049995</v>
      </c>
      <c r="U5" s="8">
        <v>905271.49934172002</v>
      </c>
      <c r="V5" s="46">
        <v>1105844.5731249</v>
      </c>
      <c r="W5" s="8">
        <v>511685.77433002001</v>
      </c>
      <c r="X5" s="8">
        <v>670563.44609510002</v>
      </c>
      <c r="Y5" s="46">
        <v>420973.15840100998</v>
      </c>
      <c r="Z5" s="8">
        <v>311420.53806396999</v>
      </c>
      <c r="AA5" s="8">
        <v>105922.95673753</v>
      </c>
      <c r="AB5" s="46" t="s">
        <v>302</v>
      </c>
    </row>
    <row r="6" spans="1:28" ht="15" customHeight="1" thickBot="1" x14ac:dyDescent="0.25">
      <c r="A6" s="109"/>
      <c r="B6" s="109"/>
      <c r="C6" s="109"/>
      <c r="D6" s="109"/>
      <c r="E6" s="109"/>
      <c r="F6" s="109"/>
      <c r="G6" s="109"/>
      <c r="H6" s="109"/>
      <c r="I6" s="109"/>
      <c r="K6" s="136">
        <v>1</v>
      </c>
      <c r="L6" s="8">
        <v>3335.5064146700001</v>
      </c>
      <c r="M6" s="46">
        <v>7662.4791423300003</v>
      </c>
      <c r="N6" s="8">
        <v>3136.1116137200002</v>
      </c>
      <c r="O6" s="46">
        <v>1563.0179075399999</v>
      </c>
      <c r="P6" s="46">
        <v>1141.4026628700001</v>
      </c>
      <c r="Q6" s="8">
        <v>3092.63328482</v>
      </c>
      <c r="R6" s="46">
        <v>2088.52929507</v>
      </c>
      <c r="S6" s="8">
        <v>2473.9908468100002</v>
      </c>
      <c r="T6" s="8">
        <v>6748.2281374699996</v>
      </c>
      <c r="U6" s="8">
        <v>8982.86959948</v>
      </c>
      <c r="V6" s="46">
        <v>11053.699684519999</v>
      </c>
      <c r="W6" s="8">
        <v>5124.7027011399996</v>
      </c>
      <c r="X6" s="8">
        <v>6649.4214136099999</v>
      </c>
      <c r="Y6" s="46">
        <v>4173.9873109800001</v>
      </c>
      <c r="Z6" s="8">
        <v>3088.3174521999999</v>
      </c>
      <c r="AA6" s="8">
        <v>1141.4026628700001</v>
      </c>
      <c r="AB6" s="46" t="s">
        <v>302</v>
      </c>
    </row>
    <row r="7" spans="1:28" ht="15" customHeight="1" thickBot="1" x14ac:dyDescent="0.25">
      <c r="A7" s="109"/>
      <c r="B7" s="109"/>
      <c r="C7" s="109"/>
      <c r="D7" s="109"/>
      <c r="E7" s="109"/>
      <c r="F7" s="109"/>
      <c r="G7" s="109"/>
      <c r="H7" s="109"/>
      <c r="I7" s="109"/>
      <c r="K7" s="136">
        <v>2</v>
      </c>
      <c r="L7" s="8">
        <v>1678.2892793000001</v>
      </c>
      <c r="M7" s="46">
        <v>3854.28052699</v>
      </c>
      <c r="N7" s="8">
        <v>1615.81952596</v>
      </c>
      <c r="O7" s="46">
        <v>811.30736704000003</v>
      </c>
      <c r="P7" s="46">
        <v>619.58102457999996</v>
      </c>
      <c r="Q7" s="8">
        <v>1554.00975307</v>
      </c>
      <c r="R7" s="46">
        <v>1049.45998934</v>
      </c>
      <c r="S7" s="8">
        <v>1243.1496239200001</v>
      </c>
      <c r="T7" s="8">
        <v>3393.7365116199999</v>
      </c>
      <c r="U7" s="8">
        <v>4523.7304470199997</v>
      </c>
      <c r="V7" s="46">
        <v>5606.9898808600001</v>
      </c>
      <c r="W7" s="8">
        <v>2604.50343574</v>
      </c>
      <c r="X7" s="8">
        <v>3346.3728344000001</v>
      </c>
      <c r="Y7" s="46">
        <v>2100.3617750200001</v>
      </c>
      <c r="Z7" s="8">
        <v>1554.3286532899999</v>
      </c>
      <c r="AA7" s="8">
        <v>619.58102457999996</v>
      </c>
      <c r="AB7" s="46" t="s">
        <v>302</v>
      </c>
    </row>
    <row r="8" spans="1:28" ht="15" customHeight="1" thickBot="1" x14ac:dyDescent="0.25">
      <c r="A8" s="109"/>
      <c r="B8" s="109"/>
      <c r="C8" s="109"/>
      <c r="D8" s="109"/>
      <c r="E8" s="109"/>
      <c r="F8" s="109"/>
      <c r="G8" s="109"/>
      <c r="H8" s="109"/>
      <c r="I8" s="109"/>
      <c r="K8" s="136">
        <v>3</v>
      </c>
      <c r="L8" s="8">
        <v>1122.2131052899999</v>
      </c>
      <c r="M8" s="46">
        <v>2576.4464616400001</v>
      </c>
      <c r="N8" s="8">
        <v>1105.6882980299999</v>
      </c>
      <c r="O8" s="46">
        <v>559.07227079999996</v>
      </c>
      <c r="P8" s="46">
        <v>444.48473037000002</v>
      </c>
      <c r="Q8" s="8">
        <v>1037.7274431799999</v>
      </c>
      <c r="R8" s="46">
        <v>700.80218563999995</v>
      </c>
      <c r="S8" s="8">
        <v>830.14310441999999</v>
      </c>
      <c r="T8" s="8">
        <v>2268.1429863799999</v>
      </c>
      <c r="U8" s="8">
        <v>3027.4744737400001</v>
      </c>
      <c r="V8" s="46">
        <v>3779.3563905199999</v>
      </c>
      <c r="W8" s="8">
        <v>1758.8551919700001</v>
      </c>
      <c r="X8" s="8">
        <v>2238.0409364400002</v>
      </c>
      <c r="Y8" s="46">
        <v>1404.56051594</v>
      </c>
      <c r="Z8" s="8">
        <v>1039.60152294</v>
      </c>
      <c r="AA8" s="8">
        <v>444.48473037000002</v>
      </c>
      <c r="AB8" s="46" t="s">
        <v>302</v>
      </c>
    </row>
    <row r="9" spans="1:28" ht="15" customHeight="1" thickBot="1" x14ac:dyDescent="0.25">
      <c r="A9" s="109"/>
      <c r="B9" s="109"/>
      <c r="C9" s="109"/>
      <c r="D9" s="109"/>
      <c r="E9" s="109"/>
      <c r="F9" s="109"/>
      <c r="G9" s="109"/>
      <c r="H9" s="109"/>
      <c r="I9" s="109"/>
      <c r="K9" s="136">
        <v>4</v>
      </c>
      <c r="L9" s="8">
        <v>843.48165658999994</v>
      </c>
      <c r="M9" s="46">
        <v>1935.93611857</v>
      </c>
      <c r="N9" s="8">
        <v>849.98661119999997</v>
      </c>
      <c r="O9" s="46">
        <v>432.64021556</v>
      </c>
      <c r="P9" s="46">
        <v>356.71825884999998</v>
      </c>
      <c r="Q9" s="8">
        <v>778.94254317000002</v>
      </c>
      <c r="R9" s="46">
        <v>526.03854734000004</v>
      </c>
      <c r="S9" s="8">
        <v>623.12487272999999</v>
      </c>
      <c r="T9" s="8">
        <v>1703.94273722</v>
      </c>
      <c r="U9" s="8">
        <v>2277.4808370699998</v>
      </c>
      <c r="V9" s="46">
        <v>2851.79542515</v>
      </c>
      <c r="W9" s="8">
        <v>1327.70210333</v>
      </c>
      <c r="X9" s="8">
        <v>1682.49303205</v>
      </c>
      <c r="Y9" s="46">
        <v>1055.79230702</v>
      </c>
      <c r="Z9" s="8">
        <v>781.59615511000004</v>
      </c>
      <c r="AA9" s="8">
        <v>356.71825884999998</v>
      </c>
      <c r="AB9" s="46" t="s">
        <v>302</v>
      </c>
    </row>
    <row r="10" spans="1:28" ht="15" customHeight="1" thickBot="1" x14ac:dyDescent="0.25">
      <c r="A10" s="109"/>
      <c r="B10" s="109"/>
      <c r="C10" s="109"/>
      <c r="D10" s="109"/>
      <c r="E10" s="109"/>
      <c r="F10" s="109"/>
      <c r="G10" s="109"/>
      <c r="H10" s="109"/>
      <c r="I10" s="109"/>
      <c r="K10" s="136">
        <v>5</v>
      </c>
      <c r="L10" s="8">
        <v>676.02024774999995</v>
      </c>
      <c r="M10" s="46">
        <v>1551.11852982</v>
      </c>
      <c r="N10" s="8">
        <v>696.36144544000001</v>
      </c>
      <c r="O10" s="46">
        <v>356.68003834000001</v>
      </c>
      <c r="P10" s="46">
        <v>303.98830306000002</v>
      </c>
      <c r="Q10" s="8">
        <v>623.46498966000001</v>
      </c>
      <c r="R10" s="46">
        <v>421.04083330999998</v>
      </c>
      <c r="S10" s="8">
        <v>498.74865063999999</v>
      </c>
      <c r="T10" s="8">
        <v>1364.9721310299999</v>
      </c>
      <c r="U10" s="8">
        <v>1826.88585681</v>
      </c>
      <c r="V10" s="46">
        <v>2292.56324709</v>
      </c>
      <c r="W10" s="8">
        <v>1067.14094219</v>
      </c>
      <c r="X10" s="8">
        <v>1348.72073718</v>
      </c>
      <c r="Y10" s="46">
        <v>846.25292417000003</v>
      </c>
      <c r="Z10" s="8">
        <v>626.58694174000004</v>
      </c>
      <c r="AA10" s="8">
        <v>303.98830306000002</v>
      </c>
      <c r="AB10" s="46" t="s">
        <v>302</v>
      </c>
    </row>
    <row r="11" spans="1:28" ht="15" customHeight="1" thickBot="1" x14ac:dyDescent="0.25">
      <c r="A11" s="109"/>
      <c r="B11" s="109"/>
      <c r="C11" s="109"/>
      <c r="D11" s="109"/>
      <c r="E11" s="109"/>
      <c r="F11" s="109"/>
      <c r="G11" s="109"/>
      <c r="H11" s="109"/>
      <c r="I11" s="109"/>
      <c r="K11" s="136">
        <v>6</v>
      </c>
      <c r="L11" s="8">
        <v>564.28642920000004</v>
      </c>
      <c r="M11" s="46">
        <v>1294.3600378599999</v>
      </c>
      <c r="N11" s="8">
        <v>593.85946454999998</v>
      </c>
      <c r="O11" s="46">
        <v>305.99779111999999</v>
      </c>
      <c r="P11" s="46">
        <v>268.80575341999997</v>
      </c>
      <c r="Q11" s="8">
        <v>519.72705428999996</v>
      </c>
      <c r="R11" s="46">
        <v>350.98412206</v>
      </c>
      <c r="S11" s="8">
        <v>415.76218605000003</v>
      </c>
      <c r="T11" s="8">
        <v>1138.8037225</v>
      </c>
      <c r="U11" s="8">
        <v>1526.23929084</v>
      </c>
      <c r="V11" s="46">
        <v>1919.43163063</v>
      </c>
      <c r="W11" s="8">
        <v>893.28898758000003</v>
      </c>
      <c r="X11" s="8">
        <v>1126.0207553</v>
      </c>
      <c r="Y11" s="46">
        <v>706.44378494</v>
      </c>
      <c r="Z11" s="8">
        <v>523.16149352000002</v>
      </c>
      <c r="AA11" s="8">
        <v>268.80575341999997</v>
      </c>
      <c r="AB11" s="46" t="s">
        <v>302</v>
      </c>
    </row>
    <row r="12" spans="1:28" ht="15" customHeight="1" thickBot="1" x14ac:dyDescent="0.25">
      <c r="A12" s="109"/>
      <c r="B12" s="109"/>
      <c r="C12" s="109"/>
      <c r="D12" s="109"/>
      <c r="E12" s="109"/>
      <c r="F12" s="109"/>
      <c r="G12" s="109"/>
      <c r="H12" s="109"/>
      <c r="I12" s="109"/>
      <c r="K12" s="136">
        <v>7</v>
      </c>
      <c r="L12" s="8">
        <v>484.43101808</v>
      </c>
      <c r="M12" s="46">
        <v>1110.8564654199999</v>
      </c>
      <c r="N12" s="8">
        <v>520.60198547000005</v>
      </c>
      <c r="O12" s="46">
        <v>269.77552853999998</v>
      </c>
      <c r="P12" s="46">
        <v>243.66102125</v>
      </c>
      <c r="Q12" s="8">
        <v>445.58624736000002</v>
      </c>
      <c r="R12" s="46">
        <v>300.91506020999998</v>
      </c>
      <c r="S12" s="8">
        <v>356.45231617000002</v>
      </c>
      <c r="T12" s="8">
        <v>977.16267721999998</v>
      </c>
      <c r="U12" s="8">
        <v>1311.36920551</v>
      </c>
      <c r="V12" s="46">
        <v>1652.7569651199999</v>
      </c>
      <c r="W12" s="8">
        <v>769.03816079000001</v>
      </c>
      <c r="X12" s="8">
        <v>966.85857081999995</v>
      </c>
      <c r="Y12" s="46">
        <v>606.52313061999996</v>
      </c>
      <c r="Z12" s="8">
        <v>449.24401906000003</v>
      </c>
      <c r="AA12" s="8">
        <v>243.66102125</v>
      </c>
      <c r="AB12" s="46" t="s">
        <v>302</v>
      </c>
    </row>
    <row r="13" spans="1:28" ht="15" customHeight="1" thickBot="1" x14ac:dyDescent="0.25">
      <c r="A13" s="109"/>
      <c r="B13" s="109"/>
      <c r="C13" s="109"/>
      <c r="D13" s="109"/>
      <c r="E13" s="109"/>
      <c r="F13" s="109"/>
      <c r="G13" s="109"/>
      <c r="H13" s="109"/>
      <c r="I13" s="109"/>
      <c r="K13" s="136">
        <v>8</v>
      </c>
      <c r="L13" s="8">
        <v>424.51453665999998</v>
      </c>
      <c r="M13" s="46">
        <v>973.17151340999999</v>
      </c>
      <c r="N13" s="8">
        <v>465.63601182999997</v>
      </c>
      <c r="O13" s="46">
        <v>242.59752631000001</v>
      </c>
      <c r="P13" s="46">
        <v>224.79462412000001</v>
      </c>
      <c r="Q13" s="8">
        <v>389.95750244999999</v>
      </c>
      <c r="R13" s="46">
        <v>263.34763701000003</v>
      </c>
      <c r="S13" s="8">
        <v>311.95140285000002</v>
      </c>
      <c r="T13" s="8">
        <v>855.88144426999997</v>
      </c>
      <c r="U13" s="8">
        <v>1150.1495797699999</v>
      </c>
      <c r="V13" s="46">
        <v>1452.6677356099999</v>
      </c>
      <c r="W13" s="8">
        <v>675.81126144999996</v>
      </c>
      <c r="X13" s="8">
        <v>847.43725719999998</v>
      </c>
      <c r="Y13" s="46">
        <v>531.55145371000003</v>
      </c>
      <c r="Z13" s="8">
        <v>393.78284298</v>
      </c>
      <c r="AA13" s="8">
        <v>224.79462412000001</v>
      </c>
      <c r="AB13" s="46" t="s">
        <v>302</v>
      </c>
    </row>
    <row r="14" spans="1:28" ht="15" customHeight="1" thickBot="1" x14ac:dyDescent="0.25">
      <c r="A14" s="109"/>
      <c r="B14" s="109"/>
      <c r="C14" s="109"/>
      <c r="D14" s="109"/>
      <c r="E14" s="109"/>
      <c r="F14" s="109"/>
      <c r="G14" s="109"/>
      <c r="H14" s="109"/>
      <c r="I14" s="109"/>
      <c r="K14" s="136">
        <v>9</v>
      </c>
      <c r="L14" s="8">
        <v>377.89805085</v>
      </c>
      <c r="M14" s="46">
        <v>866.04925873000002</v>
      </c>
      <c r="N14" s="8">
        <v>422.71116023000002</v>
      </c>
      <c r="O14" s="46">
        <v>221.45237706</v>
      </c>
      <c r="P14" s="46">
        <v>210.1161065</v>
      </c>
      <c r="Q14" s="8">
        <v>346.67698031999998</v>
      </c>
      <c r="R14" s="46">
        <v>234.11926428000001</v>
      </c>
      <c r="S14" s="8">
        <v>277.32860547000001</v>
      </c>
      <c r="T14" s="8">
        <v>761.52168306999999</v>
      </c>
      <c r="U14" s="8">
        <v>1024.7167734300001</v>
      </c>
      <c r="V14" s="46">
        <v>1296.99342871</v>
      </c>
      <c r="W14" s="8">
        <v>603.27845708999996</v>
      </c>
      <c r="X14" s="8">
        <v>754.52455884999995</v>
      </c>
      <c r="Y14" s="46">
        <v>473.22165884999998</v>
      </c>
      <c r="Z14" s="8">
        <v>350.63269417999999</v>
      </c>
      <c r="AA14" s="8">
        <v>210.1161065</v>
      </c>
      <c r="AB14" s="46" t="s">
        <v>302</v>
      </c>
    </row>
    <row r="15" spans="1:28" ht="15" customHeight="1" thickBot="1" x14ac:dyDescent="0.25">
      <c r="A15" s="109"/>
      <c r="B15" s="109"/>
      <c r="C15" s="109"/>
      <c r="D15" s="109"/>
      <c r="E15" s="109"/>
      <c r="F15" s="109"/>
      <c r="G15" s="109"/>
      <c r="H15" s="109"/>
      <c r="I15" s="109"/>
      <c r="K15" s="136">
        <v>10</v>
      </c>
      <c r="L15" s="8">
        <v>340.59554823000002</v>
      </c>
      <c r="M15" s="46">
        <v>780.33005178999997</v>
      </c>
      <c r="N15" s="8">
        <v>388.31710588999999</v>
      </c>
      <c r="O15" s="46">
        <v>204.53203264000001</v>
      </c>
      <c r="P15" s="46">
        <v>198.37035969999999</v>
      </c>
      <c r="Q15" s="8">
        <v>312.04391537999999</v>
      </c>
      <c r="R15" s="46">
        <v>210.73072640999999</v>
      </c>
      <c r="S15" s="8">
        <v>249.62345010000001</v>
      </c>
      <c r="T15" s="8">
        <v>686.01502147999997</v>
      </c>
      <c r="U15" s="8">
        <v>924.34546710999996</v>
      </c>
      <c r="V15" s="46">
        <v>1172.42287953</v>
      </c>
      <c r="W15" s="8">
        <v>545.23772156999996</v>
      </c>
      <c r="X15" s="8">
        <v>680.17583625999998</v>
      </c>
      <c r="Y15" s="46">
        <v>426.54616828000002</v>
      </c>
      <c r="Z15" s="8">
        <v>316.10395338000001</v>
      </c>
      <c r="AA15" s="8">
        <v>198.37035969999999</v>
      </c>
      <c r="AB15" s="46" t="s">
        <v>302</v>
      </c>
    </row>
    <row r="16" spans="1:28" ht="15" customHeight="1" thickBot="1" x14ac:dyDescent="0.25">
      <c r="A16" s="109"/>
      <c r="B16" s="109"/>
      <c r="C16" s="109"/>
      <c r="D16" s="109"/>
      <c r="E16" s="109"/>
      <c r="F16" s="109"/>
      <c r="G16" s="109"/>
      <c r="H16" s="109"/>
      <c r="I16" s="109"/>
      <c r="K16" s="136">
        <v>11</v>
      </c>
      <c r="L16" s="8">
        <v>310.06915872000002</v>
      </c>
      <c r="M16" s="46">
        <v>710.18199987000003</v>
      </c>
      <c r="N16" s="8">
        <v>360.17083659999997</v>
      </c>
      <c r="O16" s="46">
        <v>190.68532049000001</v>
      </c>
      <c r="P16" s="46">
        <v>188.75826357</v>
      </c>
      <c r="Q16" s="8">
        <v>283.70205196000001</v>
      </c>
      <c r="R16" s="46">
        <v>191.59078754000001</v>
      </c>
      <c r="S16" s="8">
        <v>226.95102041999999</v>
      </c>
      <c r="T16" s="8">
        <v>624.22437448999995</v>
      </c>
      <c r="U16" s="8">
        <v>842.20691414999999</v>
      </c>
      <c r="V16" s="46">
        <v>1070.4809498499999</v>
      </c>
      <c r="W16" s="8">
        <v>497.74026235999997</v>
      </c>
      <c r="X16" s="8">
        <v>619.33278545999997</v>
      </c>
      <c r="Y16" s="46">
        <v>388.34942272000001</v>
      </c>
      <c r="Z16" s="8">
        <v>287.84746339999998</v>
      </c>
      <c r="AA16" s="8">
        <v>188.75826357</v>
      </c>
      <c r="AB16" s="46" t="s">
        <v>302</v>
      </c>
    </row>
    <row r="17" spans="1:28" ht="15" customHeight="1" thickBot="1" x14ac:dyDescent="0.25">
      <c r="A17" s="109"/>
      <c r="B17" s="109"/>
      <c r="C17" s="109"/>
      <c r="D17" s="109"/>
      <c r="E17" s="109"/>
      <c r="F17" s="109"/>
      <c r="G17" s="109"/>
      <c r="H17" s="109"/>
      <c r="I17" s="109"/>
      <c r="K17" s="136">
        <v>12</v>
      </c>
      <c r="L17" s="8">
        <v>284.62626454999997</v>
      </c>
      <c r="M17" s="46">
        <v>651.71555526999998</v>
      </c>
      <c r="N17" s="8">
        <v>336.71170606999999</v>
      </c>
      <c r="O17" s="46">
        <v>179.14447204999999</v>
      </c>
      <c r="P17" s="46">
        <v>180.74684945000001</v>
      </c>
      <c r="Q17" s="8">
        <v>260.07989946999999</v>
      </c>
      <c r="R17" s="46">
        <v>175.63818244000001</v>
      </c>
      <c r="S17" s="8">
        <v>208.05418279</v>
      </c>
      <c r="T17" s="8">
        <v>572.72359402999996</v>
      </c>
      <c r="U17" s="8">
        <v>773.74672109999995</v>
      </c>
      <c r="V17" s="46">
        <v>985.51519447999999</v>
      </c>
      <c r="W17" s="8">
        <v>457.88659432999998</v>
      </c>
      <c r="X17" s="8">
        <v>568.62179946000003</v>
      </c>
      <c r="Y17" s="46">
        <v>356.51350077000001</v>
      </c>
      <c r="Z17" s="8">
        <v>264.29646724000003</v>
      </c>
      <c r="AA17" s="8">
        <v>175.63818244000001</v>
      </c>
      <c r="AB17" s="46" t="s">
        <v>304</v>
      </c>
    </row>
    <row r="18" spans="1:28" ht="15" customHeight="1" thickBot="1" x14ac:dyDescent="0.25">
      <c r="A18" s="109"/>
      <c r="B18" s="109"/>
      <c r="C18" s="109"/>
      <c r="D18" s="109"/>
      <c r="E18" s="109"/>
      <c r="F18" s="109"/>
      <c r="G18" s="109"/>
      <c r="H18" s="109"/>
      <c r="I18" s="109"/>
      <c r="K18" s="136">
        <v>13</v>
      </c>
      <c r="L18" s="8">
        <v>263.09465311999998</v>
      </c>
      <c r="M18" s="46">
        <v>602.23703429</v>
      </c>
      <c r="N18" s="8">
        <v>316.85889852999998</v>
      </c>
      <c r="O18" s="46">
        <v>169.37777406999999</v>
      </c>
      <c r="P18" s="46">
        <v>173.96701329999999</v>
      </c>
      <c r="Q18" s="8">
        <v>240.08913085</v>
      </c>
      <c r="R18" s="46">
        <v>162.13793781000001</v>
      </c>
      <c r="S18" s="8">
        <v>192.06231629999999</v>
      </c>
      <c r="T18" s="8">
        <v>529.13992036000002</v>
      </c>
      <c r="U18" s="8">
        <v>715.81077059999996</v>
      </c>
      <c r="V18" s="46">
        <v>913.61104745</v>
      </c>
      <c r="W18" s="8">
        <v>424.00551927999999</v>
      </c>
      <c r="X18" s="8">
        <v>525.70650753999996</v>
      </c>
      <c r="Y18" s="46">
        <v>329.57164827000003</v>
      </c>
      <c r="Z18" s="8">
        <v>244.36591634000001</v>
      </c>
      <c r="AA18" s="8">
        <v>162.13793781000001</v>
      </c>
      <c r="AB18" s="46" t="s">
        <v>304</v>
      </c>
    </row>
    <row r="19" spans="1:28" ht="15" customHeight="1" thickBot="1" x14ac:dyDescent="0.25">
      <c r="A19" s="109"/>
      <c r="B19" s="109"/>
      <c r="C19" s="109"/>
      <c r="D19" s="109"/>
      <c r="E19" s="109"/>
      <c r="F19" s="109"/>
      <c r="G19" s="109"/>
      <c r="H19" s="109"/>
      <c r="I19" s="109"/>
      <c r="K19" s="136">
        <v>14</v>
      </c>
      <c r="L19" s="8">
        <v>244.63679060000001</v>
      </c>
      <c r="M19" s="46">
        <v>559.82182835000003</v>
      </c>
      <c r="N19" s="8">
        <v>299.84018200000003</v>
      </c>
      <c r="O19" s="46">
        <v>161.00532276999999</v>
      </c>
      <c r="P19" s="46">
        <v>168.15503380000001</v>
      </c>
      <c r="Q19" s="8">
        <v>222.95214786</v>
      </c>
      <c r="R19" s="46">
        <v>150.56492294</v>
      </c>
      <c r="S19" s="8">
        <v>178.35337147999999</v>
      </c>
      <c r="T19" s="8">
        <v>491.77804154</v>
      </c>
      <c r="U19" s="8">
        <v>666.14547613000002</v>
      </c>
      <c r="V19" s="46">
        <v>851.97158868999998</v>
      </c>
      <c r="W19" s="8">
        <v>394.96114263999999</v>
      </c>
      <c r="X19" s="8">
        <v>488.91759516000002</v>
      </c>
      <c r="Y19" s="46">
        <v>306.47588463</v>
      </c>
      <c r="Z19" s="8">
        <v>227.28055470000001</v>
      </c>
      <c r="AA19" s="8">
        <v>150.56492294</v>
      </c>
      <c r="AB19" s="46" t="s">
        <v>304</v>
      </c>
    </row>
    <row r="20" spans="1:28" ht="15" customHeight="1" thickBot="1" x14ac:dyDescent="0.25">
      <c r="A20" s="109"/>
      <c r="B20" s="109"/>
      <c r="C20" s="109"/>
      <c r="D20" s="109"/>
      <c r="E20" s="109"/>
      <c r="F20" s="109"/>
      <c r="G20" s="109"/>
      <c r="H20" s="109"/>
      <c r="I20" s="109"/>
      <c r="K20" s="136">
        <v>15</v>
      </c>
      <c r="L20" s="8">
        <v>228.63833686000001</v>
      </c>
      <c r="M20" s="46">
        <v>523.05821547000005</v>
      </c>
      <c r="N20" s="8">
        <v>285.08911577999999</v>
      </c>
      <c r="O20" s="46">
        <v>153.74845450999999</v>
      </c>
      <c r="P20" s="46">
        <v>163.11746864</v>
      </c>
      <c r="Q20" s="8">
        <v>208.09857374000001</v>
      </c>
      <c r="R20" s="46">
        <v>140.53394874</v>
      </c>
      <c r="S20" s="8">
        <v>166.47106826000001</v>
      </c>
      <c r="T20" s="8">
        <v>459.39442788999997</v>
      </c>
      <c r="U20" s="8">
        <v>623.09780966999995</v>
      </c>
      <c r="V20" s="46">
        <v>798.54524948000005</v>
      </c>
      <c r="W20" s="8">
        <v>369.78676976000003</v>
      </c>
      <c r="X20" s="8">
        <v>457.03060340000002</v>
      </c>
      <c r="Y20" s="46">
        <v>286.45750450999998</v>
      </c>
      <c r="Z20" s="8">
        <v>212.47172355999999</v>
      </c>
      <c r="AA20" s="8">
        <v>140.53394874</v>
      </c>
      <c r="AB20" s="46" t="s">
        <v>304</v>
      </c>
    </row>
    <row r="21" spans="1:28" ht="15" customHeight="1" thickBot="1" x14ac:dyDescent="0.25">
      <c r="A21" s="109"/>
      <c r="B21" s="109"/>
      <c r="C21" s="109"/>
      <c r="D21" s="109"/>
      <c r="E21" s="109"/>
      <c r="F21" s="109"/>
      <c r="G21" s="109"/>
      <c r="H21" s="109"/>
      <c r="I21" s="109"/>
      <c r="K21" s="136">
        <v>16</v>
      </c>
      <c r="L21" s="8">
        <v>214.63844072000001</v>
      </c>
      <c r="M21" s="46">
        <v>490.88718389000002</v>
      </c>
      <c r="N21" s="8">
        <v>272.18078130999999</v>
      </c>
      <c r="O21" s="46">
        <v>147.3981283</v>
      </c>
      <c r="P21" s="46">
        <v>158.70920579</v>
      </c>
      <c r="Q21" s="8">
        <v>195.10053665000001</v>
      </c>
      <c r="R21" s="46">
        <v>131.75606311999999</v>
      </c>
      <c r="S21" s="8">
        <v>156.07312519999999</v>
      </c>
      <c r="T21" s="8">
        <v>431.05623749</v>
      </c>
      <c r="U21" s="8">
        <v>585.42774010000005</v>
      </c>
      <c r="V21" s="46">
        <v>751.79303088999995</v>
      </c>
      <c r="W21" s="8">
        <v>347.75722776999999</v>
      </c>
      <c r="X21" s="8">
        <v>429.12699574999999</v>
      </c>
      <c r="Y21" s="46">
        <v>268.93985901999997</v>
      </c>
      <c r="Z21" s="8">
        <v>199.51284017</v>
      </c>
      <c r="AA21" s="8">
        <v>131.75606311999999</v>
      </c>
      <c r="AB21" s="46" t="s">
        <v>304</v>
      </c>
    </row>
    <row r="22" spans="1:28" ht="15" customHeight="1" thickBot="1" x14ac:dyDescent="0.25">
      <c r="A22" s="109"/>
      <c r="B22" s="109"/>
      <c r="C22" s="109"/>
      <c r="D22" s="109"/>
      <c r="E22" s="109"/>
      <c r="F22" s="109"/>
      <c r="G22" s="109"/>
      <c r="H22" s="109"/>
      <c r="I22" s="109"/>
      <c r="K22" s="136">
        <v>17</v>
      </c>
      <c r="L22" s="8">
        <v>202.28462291</v>
      </c>
      <c r="M22" s="46">
        <v>462.49875445999999</v>
      </c>
      <c r="N22" s="8">
        <v>260.79018152999998</v>
      </c>
      <c r="O22" s="46">
        <v>141.79446002</v>
      </c>
      <c r="P22" s="46">
        <v>154.81925723000001</v>
      </c>
      <c r="Q22" s="8">
        <v>183.63078135999999</v>
      </c>
      <c r="R22" s="46">
        <v>124.01026278000001</v>
      </c>
      <c r="S22" s="8">
        <v>146.89775037000001</v>
      </c>
      <c r="T22" s="8">
        <v>406.04999178999998</v>
      </c>
      <c r="U22" s="8">
        <v>552.18683825999994</v>
      </c>
      <c r="V22" s="46">
        <v>710.53784012000006</v>
      </c>
      <c r="W22" s="8">
        <v>328.31787312</v>
      </c>
      <c r="X22" s="8">
        <v>404.50423575999997</v>
      </c>
      <c r="Y22" s="46">
        <v>253.48190138999999</v>
      </c>
      <c r="Z22" s="8">
        <v>188.07763496999999</v>
      </c>
      <c r="AA22" s="8">
        <v>124.01026278000001</v>
      </c>
      <c r="AB22" s="46" t="s">
        <v>304</v>
      </c>
    </row>
    <row r="23" spans="1:28" ht="15" customHeight="1" thickBot="1" x14ac:dyDescent="0.25">
      <c r="A23" s="109"/>
      <c r="B23" s="109"/>
      <c r="C23" s="109"/>
      <c r="D23" s="109"/>
      <c r="E23" s="109"/>
      <c r="F23" s="109"/>
      <c r="G23" s="109"/>
      <c r="H23" s="109"/>
      <c r="I23" s="109"/>
      <c r="K23" s="136">
        <v>18</v>
      </c>
      <c r="L23" s="8">
        <v>191.30268938</v>
      </c>
      <c r="M23" s="46">
        <v>437.26284363000002</v>
      </c>
      <c r="N23" s="8">
        <v>250.66450125</v>
      </c>
      <c r="O23" s="46">
        <v>136.81307584999999</v>
      </c>
      <c r="P23" s="46">
        <v>151.36128518999999</v>
      </c>
      <c r="Q23" s="8">
        <v>173.43473576</v>
      </c>
      <c r="R23" s="46">
        <v>117.12462910000001</v>
      </c>
      <c r="S23" s="8">
        <v>138.74129561999999</v>
      </c>
      <c r="T23" s="8">
        <v>383.82067524000001</v>
      </c>
      <c r="U23" s="8">
        <v>522.63731923</v>
      </c>
      <c r="V23" s="46">
        <v>673.86401418000003</v>
      </c>
      <c r="W23" s="8">
        <v>311.03724745</v>
      </c>
      <c r="X23" s="8">
        <v>382.61581887</v>
      </c>
      <c r="Y23" s="46">
        <v>239.74054095</v>
      </c>
      <c r="Z23" s="8">
        <v>177.91230264999999</v>
      </c>
      <c r="AA23" s="8">
        <v>117.12462910000001</v>
      </c>
      <c r="AB23" s="46" t="s">
        <v>304</v>
      </c>
    </row>
    <row r="24" spans="1:28" ht="15" customHeight="1" thickBot="1" x14ac:dyDescent="0.25">
      <c r="A24" s="109"/>
      <c r="B24" s="109"/>
      <c r="C24" s="109"/>
      <c r="D24" s="109"/>
      <c r="E24" s="109"/>
      <c r="F24" s="109"/>
      <c r="G24" s="109"/>
      <c r="H24" s="109"/>
      <c r="I24" s="109"/>
      <c r="K24" s="136">
        <v>19</v>
      </c>
      <c r="L24" s="8">
        <v>181.47614075000001</v>
      </c>
      <c r="M24" s="46">
        <v>414.68194704000001</v>
      </c>
      <c r="N24" s="8">
        <v>241.60412135000001</v>
      </c>
      <c r="O24" s="46">
        <v>132.35577207</v>
      </c>
      <c r="P24" s="46">
        <v>148.26711872999999</v>
      </c>
      <c r="Q24" s="8">
        <v>164.31139354000001</v>
      </c>
      <c r="R24" s="46">
        <v>110.96341768000001</v>
      </c>
      <c r="S24" s="8">
        <v>131.44296338999999</v>
      </c>
      <c r="T24" s="8">
        <v>363.93005582000001</v>
      </c>
      <c r="U24" s="8">
        <v>496.19663949</v>
      </c>
      <c r="V24" s="46">
        <v>641.04856009000002</v>
      </c>
      <c r="W24" s="8">
        <v>295.57467806</v>
      </c>
      <c r="X24" s="8">
        <v>363.03023377</v>
      </c>
      <c r="Y24" s="46">
        <v>227.44487864000001</v>
      </c>
      <c r="Z24" s="8">
        <v>168.81644243</v>
      </c>
      <c r="AA24" s="8">
        <v>110.96341768000001</v>
      </c>
      <c r="AB24" s="46" t="s">
        <v>304</v>
      </c>
    </row>
    <row r="25" spans="1:28" ht="15" customHeight="1" thickBot="1" x14ac:dyDescent="0.25">
      <c r="A25" s="109"/>
      <c r="B25" s="109"/>
      <c r="C25" s="109"/>
      <c r="D25" s="109"/>
      <c r="E25" s="109"/>
      <c r="F25" s="109"/>
      <c r="G25" s="109"/>
      <c r="H25" s="109"/>
      <c r="I25" s="109"/>
      <c r="K25" s="136">
        <v>20</v>
      </c>
      <c r="L25" s="8">
        <v>172.63175587999999</v>
      </c>
      <c r="M25" s="46">
        <v>394.35801161000001</v>
      </c>
      <c r="N25" s="8">
        <v>233.44932668000001</v>
      </c>
      <c r="O25" s="46">
        <v>128.34397593</v>
      </c>
      <c r="P25" s="46">
        <v>145.48221427999999</v>
      </c>
      <c r="Q25" s="8">
        <v>156.09992958000001</v>
      </c>
      <c r="R25" s="46">
        <v>105.41801949000001</v>
      </c>
      <c r="S25" s="8">
        <v>124.87409965000001</v>
      </c>
      <c r="T25" s="8">
        <v>346.02750428000002</v>
      </c>
      <c r="U25" s="8">
        <v>472.39870652000002</v>
      </c>
      <c r="V25" s="46">
        <v>611.51301164999995</v>
      </c>
      <c r="W25" s="8">
        <v>281.65759295999999</v>
      </c>
      <c r="X25" s="8">
        <v>345.40222849999998</v>
      </c>
      <c r="Y25" s="46">
        <v>216.37816806000001</v>
      </c>
      <c r="Z25" s="8">
        <v>160.62971365999999</v>
      </c>
      <c r="AA25" s="8">
        <v>105.41801949000001</v>
      </c>
      <c r="AB25" s="46" t="s">
        <v>304</v>
      </c>
    </row>
    <row r="26" spans="1:28" ht="15" customHeight="1" thickBot="1" x14ac:dyDescent="0.25">
      <c r="A26" s="109"/>
      <c r="B26" s="109"/>
      <c r="C26" s="109"/>
      <c r="D26" s="109"/>
      <c r="E26" s="109"/>
      <c r="F26" s="109"/>
      <c r="G26" s="109"/>
      <c r="H26" s="109"/>
      <c r="I26" s="109"/>
      <c r="K26" s="136">
        <v>21</v>
      </c>
      <c r="L26" s="8">
        <v>164.62929249000001</v>
      </c>
      <c r="M26" s="46">
        <v>375.96876779000002</v>
      </c>
      <c r="N26" s="8">
        <v>226.07080945000001</v>
      </c>
      <c r="O26" s="46">
        <v>124.71407376000001</v>
      </c>
      <c r="P26" s="46">
        <v>142.96241258000001</v>
      </c>
      <c r="Q26" s="8">
        <v>148.67013757999999</v>
      </c>
      <c r="R26" s="46">
        <v>100.40050307999999</v>
      </c>
      <c r="S26" s="8">
        <v>118.9305442</v>
      </c>
      <c r="T26" s="8">
        <v>329.82914611000001</v>
      </c>
      <c r="U26" s="8">
        <v>450.86616451999998</v>
      </c>
      <c r="V26" s="46">
        <v>584.78903362000005</v>
      </c>
      <c r="W26" s="8">
        <v>269.06531361999998</v>
      </c>
      <c r="X26" s="8">
        <v>329.45228171999997</v>
      </c>
      <c r="Y26" s="46"/>
      <c r="Z26" s="8"/>
      <c r="AA26" s="8">
        <v>100.40050307999999</v>
      </c>
      <c r="AB26" s="46" t="s">
        <v>304</v>
      </c>
    </row>
    <row r="27" spans="1:28" ht="15" customHeight="1" thickBot="1" x14ac:dyDescent="0.25">
      <c r="A27" s="109"/>
      <c r="B27" s="109"/>
      <c r="C27" s="109"/>
      <c r="D27" s="109"/>
      <c r="E27" s="109"/>
      <c r="F27" s="109"/>
      <c r="G27" s="109"/>
      <c r="H27" s="109"/>
      <c r="I27" s="109"/>
      <c r="K27" s="136">
        <v>22</v>
      </c>
      <c r="L27" s="8">
        <v>157.35399525</v>
      </c>
      <c r="M27" s="46">
        <v>359.25051397999999</v>
      </c>
      <c r="N27" s="8">
        <v>219.36276176000001</v>
      </c>
      <c r="O27" s="46">
        <v>121.41401276000001</v>
      </c>
      <c r="P27" s="46">
        <v>140.67157968000001</v>
      </c>
      <c r="Q27" s="8">
        <v>141.91547439000001</v>
      </c>
      <c r="R27" s="46">
        <v>95.838917319999993</v>
      </c>
      <c r="S27" s="8">
        <v>113.52706652000001</v>
      </c>
      <c r="T27" s="8">
        <v>315.10269700999999</v>
      </c>
      <c r="U27" s="8">
        <v>431.29023689000002</v>
      </c>
      <c r="V27" s="46">
        <v>560.49340434999999</v>
      </c>
      <c r="W27" s="8">
        <v>257.61726684000001</v>
      </c>
      <c r="X27" s="8">
        <v>314.95167132</v>
      </c>
      <c r="Y27" s="46"/>
      <c r="Z27" s="8"/>
      <c r="AA27" s="8">
        <v>95.838917319999993</v>
      </c>
      <c r="AB27" s="46" t="s">
        <v>304</v>
      </c>
    </row>
    <row r="28" spans="1:28" ht="15" customHeight="1" thickBot="1" x14ac:dyDescent="0.25">
      <c r="A28" s="109"/>
      <c r="B28" s="109"/>
      <c r="C28" s="109"/>
      <c r="D28" s="109"/>
      <c r="E28" s="109"/>
      <c r="F28" s="109"/>
      <c r="G28" s="109"/>
      <c r="H28" s="109"/>
      <c r="I28" s="109"/>
      <c r="K28" s="136">
        <v>23</v>
      </c>
      <c r="L28" s="8">
        <v>150.7110576</v>
      </c>
      <c r="M28" s="46">
        <v>343.98538946999997</v>
      </c>
      <c r="N28" s="8">
        <v>213.23776907999999</v>
      </c>
      <c r="O28" s="46">
        <v>118.40078889</v>
      </c>
      <c r="P28" s="46">
        <v>138.57986310000001</v>
      </c>
      <c r="Q28" s="8">
        <v>135.74791787000001</v>
      </c>
      <c r="R28" s="46"/>
      <c r="S28" s="8">
        <v>108.59325221</v>
      </c>
      <c r="T28" s="8">
        <v>301.65625202000001</v>
      </c>
      <c r="U28" s="8">
        <v>413.41582421999999</v>
      </c>
      <c r="V28" s="46">
        <v>538.30952046000004</v>
      </c>
      <c r="W28" s="8">
        <v>247.16426981999999</v>
      </c>
      <c r="X28" s="8">
        <v>301.71143563999999</v>
      </c>
      <c r="Y28" s="46"/>
      <c r="Z28" s="8"/>
      <c r="AA28" s="8">
        <v>108.59325221</v>
      </c>
      <c r="AB28" s="46" t="s">
        <v>305</v>
      </c>
    </row>
    <row r="29" spans="1:28" ht="15" customHeight="1" thickBot="1" x14ac:dyDescent="0.25">
      <c r="A29" s="109"/>
      <c r="B29" s="109"/>
      <c r="C29" s="109"/>
      <c r="D29" s="109"/>
      <c r="E29" s="109"/>
      <c r="F29" s="109"/>
      <c r="G29" s="109"/>
      <c r="H29" s="109"/>
      <c r="I29" s="109"/>
      <c r="K29" s="136">
        <v>24</v>
      </c>
      <c r="L29" s="8">
        <v>144.62146754</v>
      </c>
      <c r="M29" s="46">
        <v>329.99182888000001</v>
      </c>
      <c r="N29" s="8">
        <v>207.62297982000001</v>
      </c>
      <c r="O29" s="46">
        <v>115.63856239</v>
      </c>
      <c r="P29" s="46">
        <v>136.66238361000001</v>
      </c>
      <c r="Q29" s="8">
        <v>130.09411041000001</v>
      </c>
      <c r="R29" s="46"/>
      <c r="S29" s="8">
        <v>104.0704179</v>
      </c>
      <c r="T29" s="8">
        <v>289.32987757000001</v>
      </c>
      <c r="U29" s="8">
        <v>397.0303255</v>
      </c>
      <c r="V29" s="46">
        <v>517.97352357</v>
      </c>
      <c r="W29" s="8">
        <v>237.58199306</v>
      </c>
      <c r="X29" s="8">
        <v>289.57409338000002</v>
      </c>
      <c r="Y29" s="46"/>
      <c r="Z29" s="8"/>
      <c r="AA29" s="8">
        <v>104.0704179</v>
      </c>
      <c r="AB29" s="46" t="s">
        <v>305</v>
      </c>
    </row>
    <row r="30" spans="1:28" ht="15" customHeight="1" thickBot="1" x14ac:dyDescent="0.25">
      <c r="A30" s="109"/>
      <c r="B30" s="109"/>
      <c r="C30" s="109"/>
      <c r="D30" s="109"/>
      <c r="E30" s="109"/>
      <c r="F30" s="109"/>
      <c r="G30" s="109"/>
      <c r="H30" s="109"/>
      <c r="I30" s="109"/>
      <c r="K30" s="136">
        <v>25</v>
      </c>
      <c r="L30" s="8">
        <v>139.01884987</v>
      </c>
      <c r="M30" s="46">
        <v>317.11730553000001</v>
      </c>
      <c r="N30" s="8">
        <v>202.45719412</v>
      </c>
      <c r="O30" s="46">
        <v>113.09722567</v>
      </c>
      <c r="P30" s="46">
        <v>134.89824116</v>
      </c>
      <c r="Q30" s="8">
        <v>124.89242666</v>
      </c>
      <c r="R30" s="46"/>
      <c r="S30" s="8">
        <v>99.909265649999995</v>
      </c>
      <c r="T30" s="8">
        <v>277.98921872</v>
      </c>
      <c r="U30" s="8">
        <v>381.95514255000001</v>
      </c>
      <c r="V30" s="46">
        <v>499.26375590999999</v>
      </c>
      <c r="W30" s="8">
        <v>228.76599192</v>
      </c>
      <c r="X30" s="8">
        <v>278.40735024000003</v>
      </c>
      <c r="Y30" s="46"/>
      <c r="Z30" s="8"/>
      <c r="AA30" s="8">
        <v>99.909265649999995</v>
      </c>
      <c r="AB30" s="46" t="s">
        <v>305</v>
      </c>
    </row>
    <row r="31" spans="1:28" ht="15" customHeight="1" thickBot="1" x14ac:dyDescent="0.25">
      <c r="A31" s="109"/>
      <c r="B31" s="109"/>
      <c r="C31" s="109"/>
      <c r="D31" s="109"/>
      <c r="E31" s="109"/>
      <c r="F31" s="109"/>
      <c r="G31" s="109"/>
      <c r="H31" s="109"/>
      <c r="I31" s="109"/>
      <c r="K31" s="136">
        <v>26</v>
      </c>
      <c r="L31" s="8">
        <v>133.84703711</v>
      </c>
      <c r="M31" s="46">
        <v>305.23274937000002</v>
      </c>
      <c r="N31" s="8">
        <v>197.68862379999999</v>
      </c>
      <c r="O31" s="46">
        <v>110.75130124</v>
      </c>
      <c r="P31" s="46">
        <v>133.2697498</v>
      </c>
      <c r="Q31" s="8">
        <v>120.09071858999999</v>
      </c>
      <c r="R31" s="46"/>
      <c r="S31" s="8">
        <v>96.06807895</v>
      </c>
      <c r="T31" s="8">
        <v>267.52058283999997</v>
      </c>
      <c r="U31" s="8">
        <v>368.03914318</v>
      </c>
      <c r="V31" s="46">
        <v>481.99264778999998</v>
      </c>
      <c r="W31" s="8">
        <v>220.62788397</v>
      </c>
      <c r="X31" s="8">
        <v>268.09925707999997</v>
      </c>
      <c r="Y31" s="46"/>
      <c r="Z31" s="8"/>
      <c r="AA31" s="8">
        <v>96.06807895</v>
      </c>
      <c r="AB31" s="46" t="s">
        <v>305</v>
      </c>
    </row>
    <row r="32" spans="1:28" ht="15" customHeight="1" thickBot="1" x14ac:dyDescent="0.25">
      <c r="A32" s="109"/>
      <c r="B32" s="109"/>
      <c r="C32" s="109"/>
      <c r="D32" s="109"/>
      <c r="E32" s="109"/>
      <c r="F32" s="109"/>
      <c r="G32" s="109"/>
      <c r="H32" s="109"/>
      <c r="I32" s="109"/>
      <c r="K32" s="136">
        <v>27</v>
      </c>
      <c r="L32" s="8">
        <v>129.05817976</v>
      </c>
      <c r="M32" s="46">
        <v>294.22820480000001</v>
      </c>
      <c r="N32" s="8">
        <v>193.27315012</v>
      </c>
      <c r="O32" s="46">
        <v>108.57908466000001</v>
      </c>
      <c r="P32" s="46">
        <v>131.76184275</v>
      </c>
      <c r="Q32" s="8">
        <v>115.64456094000001</v>
      </c>
      <c r="R32" s="46"/>
      <c r="S32" s="8">
        <v>92.511319290000003</v>
      </c>
      <c r="T32" s="8">
        <v>257.82711441999999</v>
      </c>
      <c r="U32" s="8">
        <v>355.15357691000003</v>
      </c>
      <c r="V32" s="46">
        <v>466.00040739000002</v>
      </c>
      <c r="W32" s="8">
        <v>213.09237565999999</v>
      </c>
      <c r="X32" s="8">
        <v>258.55444369000003</v>
      </c>
      <c r="Y32" s="46"/>
      <c r="Z32" s="8"/>
      <c r="AA32" s="8">
        <v>92.511319290000003</v>
      </c>
      <c r="AB32" s="46" t="s">
        <v>305</v>
      </c>
    </row>
    <row r="33" spans="1:28" ht="15" customHeight="1" thickBot="1" x14ac:dyDescent="0.25">
      <c r="A33" s="109"/>
      <c r="B33" s="109"/>
      <c r="C33" s="109"/>
      <c r="D33" s="109"/>
      <c r="E33" s="109"/>
      <c r="F33" s="109"/>
      <c r="G33" s="109"/>
      <c r="H33" s="109"/>
      <c r="I33" s="109"/>
      <c r="K33" s="136">
        <v>28</v>
      </c>
      <c r="L33" s="8">
        <v>124.61126152</v>
      </c>
      <c r="M33" s="46">
        <v>284.00941846000001</v>
      </c>
      <c r="N33" s="8">
        <v>189.17295483000001</v>
      </c>
      <c r="O33" s="46">
        <v>106.56197100999999</v>
      </c>
      <c r="P33" s="46">
        <v>130.36160491000001</v>
      </c>
      <c r="Q33" s="8">
        <v>111.51587256000001</v>
      </c>
      <c r="R33" s="46"/>
      <c r="S33" s="8">
        <v>89.208523150000005</v>
      </c>
      <c r="T33" s="8">
        <v>248.82578934</v>
      </c>
      <c r="U33" s="8">
        <v>343.18807975999999</v>
      </c>
      <c r="V33" s="46">
        <v>451.15006210000001</v>
      </c>
      <c r="W33" s="8">
        <v>206.09492581000001</v>
      </c>
      <c r="X33" s="8">
        <v>249.69115930999999</v>
      </c>
      <c r="Y33" s="46"/>
      <c r="Z33" s="8"/>
      <c r="AA33" s="8">
        <v>89.208523150000005</v>
      </c>
      <c r="AB33" s="46" t="s">
        <v>305</v>
      </c>
    </row>
    <row r="34" spans="1:28" ht="15" customHeight="1" thickBot="1" x14ac:dyDescent="0.25">
      <c r="A34" s="109"/>
      <c r="B34" s="109"/>
      <c r="C34" s="109"/>
      <c r="D34" s="109"/>
      <c r="E34" s="109"/>
      <c r="F34" s="109"/>
      <c r="G34" s="109"/>
      <c r="H34" s="109"/>
      <c r="I34" s="109"/>
      <c r="K34" s="136">
        <v>29</v>
      </c>
      <c r="L34" s="8">
        <v>120.47092158</v>
      </c>
      <c r="M34" s="46">
        <v>274.49513308000002</v>
      </c>
      <c r="N34" s="8">
        <v>185.35543415000001</v>
      </c>
      <c r="O34" s="46">
        <v>104.68392068999999</v>
      </c>
      <c r="P34" s="46">
        <v>129.05790189999999</v>
      </c>
      <c r="Q34" s="8">
        <v>107.67182319</v>
      </c>
      <c r="R34" s="46"/>
      <c r="S34" s="8"/>
      <c r="T34" s="8">
        <v>240.44503137000001</v>
      </c>
      <c r="U34" s="8">
        <v>332.04750474000002</v>
      </c>
      <c r="V34" s="46">
        <v>437.32352543000002</v>
      </c>
      <c r="W34" s="8">
        <v>199.57989230999999</v>
      </c>
      <c r="X34" s="8">
        <v>241.43892517</v>
      </c>
      <c r="Y34" s="46"/>
      <c r="Z34" s="8"/>
      <c r="AA34" s="8">
        <v>104.68392068999999</v>
      </c>
      <c r="AB34" s="46" t="s">
        <v>298</v>
      </c>
    </row>
    <row r="35" spans="1:28" ht="15" customHeight="1" thickBot="1" x14ac:dyDescent="0.25">
      <c r="A35" s="109"/>
      <c r="B35" s="109"/>
      <c r="C35" s="109"/>
      <c r="D35" s="109"/>
      <c r="E35" s="109"/>
      <c r="F35" s="109"/>
      <c r="G35" s="109"/>
      <c r="H35" s="109"/>
      <c r="I35" s="109"/>
      <c r="K35" s="136">
        <v>30</v>
      </c>
      <c r="L35" s="8">
        <v>116.60651233</v>
      </c>
      <c r="M35" s="46">
        <v>265.61492207999999</v>
      </c>
      <c r="N35" s="8">
        <v>181.79233004</v>
      </c>
      <c r="O35" s="46">
        <v>102.931032</v>
      </c>
      <c r="P35" s="46">
        <v>127.84108347999999</v>
      </c>
      <c r="Q35" s="8">
        <v>104.08395836</v>
      </c>
      <c r="R35" s="46"/>
      <c r="S35" s="8"/>
      <c r="T35" s="8">
        <v>232.62280437000001</v>
      </c>
      <c r="U35" s="8">
        <v>321.64938733999998</v>
      </c>
      <c r="V35" s="46">
        <v>424.41845085</v>
      </c>
      <c r="W35" s="8">
        <v>193.49904971000001</v>
      </c>
      <c r="X35" s="8">
        <v>233.73665672000001</v>
      </c>
      <c r="Y35" s="46"/>
      <c r="Z35" s="8"/>
      <c r="AA35" s="8">
        <v>102.931032</v>
      </c>
      <c r="AB35" s="46" t="s">
        <v>298</v>
      </c>
    </row>
    <row r="36" spans="1:28" ht="15" customHeight="1" thickBot="1" x14ac:dyDescent="0.25">
      <c r="A36" s="109"/>
      <c r="B36" s="109"/>
      <c r="C36" s="109"/>
      <c r="D36" s="109"/>
      <c r="E36" s="109"/>
      <c r="F36" s="109"/>
      <c r="G36" s="109"/>
      <c r="H36" s="109"/>
      <c r="I36" s="109"/>
      <c r="K36" s="136">
        <v>31</v>
      </c>
      <c r="L36" s="8">
        <v>112.9913394</v>
      </c>
      <c r="M36" s="46">
        <v>257.30744312000002</v>
      </c>
      <c r="N36" s="8">
        <v>178.45902946999999</v>
      </c>
      <c r="O36" s="46">
        <v>101.29119643</v>
      </c>
      <c r="P36" s="46">
        <v>126.70274413</v>
      </c>
      <c r="Q36" s="8">
        <v>100.72749406</v>
      </c>
      <c r="R36" s="46"/>
      <c r="S36" s="8"/>
      <c r="T36" s="8">
        <v>225.30507449999999</v>
      </c>
      <c r="U36" s="8">
        <v>311.92189981000001</v>
      </c>
      <c r="V36" s="46">
        <v>412.34569312999997</v>
      </c>
      <c r="W36" s="8">
        <v>187.81039297000001</v>
      </c>
      <c r="X36" s="8">
        <v>226.53114851000001</v>
      </c>
      <c r="Y36" s="46"/>
      <c r="Z36" s="8"/>
      <c r="AA36" s="8">
        <v>100.72749406</v>
      </c>
      <c r="AB36" s="46" t="s">
        <v>303</v>
      </c>
    </row>
    <row r="37" spans="1:28" ht="15" customHeight="1" thickBot="1" x14ac:dyDescent="0.25">
      <c r="A37" s="109"/>
      <c r="B37" s="109"/>
      <c r="C37" s="109"/>
      <c r="D37" s="109"/>
      <c r="E37" s="109"/>
      <c r="F37" s="109"/>
      <c r="G37" s="109"/>
      <c r="H37" s="109"/>
      <c r="I37" s="109"/>
      <c r="K37" s="136">
        <v>32</v>
      </c>
      <c r="L37" s="8">
        <v>109.60204422</v>
      </c>
      <c r="M37" s="46">
        <v>249.51901939000001</v>
      </c>
      <c r="N37" s="8">
        <v>175.33399510000001</v>
      </c>
      <c r="O37" s="46">
        <v>99.753818570000007</v>
      </c>
      <c r="P37" s="46">
        <v>125.63552878</v>
      </c>
      <c r="Q37" s="8">
        <v>97.580743220000002</v>
      </c>
      <c r="R37" s="46"/>
      <c r="S37" s="8"/>
      <c r="T37" s="8">
        <v>218.44455980000001</v>
      </c>
      <c r="U37" s="8">
        <v>302.80219033999998</v>
      </c>
      <c r="V37" s="46">
        <v>401.02724708</v>
      </c>
      <c r="W37" s="8">
        <v>182.47716622999999</v>
      </c>
      <c r="X37" s="8">
        <v>219.77584390000001</v>
      </c>
      <c r="Y37" s="46"/>
      <c r="Z37" s="8"/>
      <c r="AA37" s="8">
        <v>97.580743220000002</v>
      </c>
      <c r="AB37" s="46" t="s">
        <v>303</v>
      </c>
    </row>
    <row r="38" spans="1:28" ht="15" customHeight="1" thickBot="1" x14ac:dyDescent="0.25">
      <c r="A38" s="109"/>
      <c r="B38" s="109"/>
      <c r="C38" s="109"/>
      <c r="D38" s="109"/>
      <c r="E38" s="109"/>
      <c r="F38" s="109"/>
      <c r="G38" s="109"/>
      <c r="H38" s="109"/>
      <c r="I38" s="109"/>
      <c r="K38" s="136">
        <v>33</v>
      </c>
      <c r="L38" s="8">
        <v>106.41809859999999</v>
      </c>
      <c r="M38" s="46">
        <v>242.20247835000001</v>
      </c>
      <c r="N38" s="8">
        <v>172.39829939000001</v>
      </c>
      <c r="O38" s="46">
        <v>98.309586899999999</v>
      </c>
      <c r="P38" s="46">
        <v>124.63297356</v>
      </c>
      <c r="Q38" s="8"/>
      <c r="R38" s="46"/>
      <c r="S38" s="8"/>
      <c r="T38" s="8">
        <v>211.99970794999999</v>
      </c>
      <c r="U38" s="8">
        <v>294.23502310999999</v>
      </c>
      <c r="V38" s="46">
        <v>390.39455963</v>
      </c>
      <c r="W38" s="8">
        <v>177.46706742000001</v>
      </c>
      <c r="X38" s="8">
        <v>213.42982764000001</v>
      </c>
      <c r="Y38" s="46"/>
      <c r="Z38" s="8"/>
      <c r="AA38" s="8">
        <v>98.309586899999999</v>
      </c>
      <c r="AB38" s="46" t="s">
        <v>298</v>
      </c>
    </row>
    <row r="39" spans="1:28" ht="15" customHeight="1" thickBot="1" x14ac:dyDescent="0.25">
      <c r="A39" s="109"/>
      <c r="B39" s="109"/>
      <c r="C39" s="109"/>
      <c r="D39" s="109"/>
      <c r="E39" s="109"/>
      <c r="F39" s="109"/>
      <c r="G39" s="109"/>
      <c r="H39" s="109"/>
      <c r="I39" s="109"/>
      <c r="K39" s="136">
        <v>34</v>
      </c>
      <c r="L39" s="8">
        <v>103.42138885</v>
      </c>
      <c r="M39" s="46">
        <v>235.31619552999999</v>
      </c>
      <c r="N39" s="8">
        <v>169.63524089000001</v>
      </c>
      <c r="O39" s="46">
        <v>96.950285059999999</v>
      </c>
      <c r="P39" s="46">
        <v>123.68937483000001</v>
      </c>
      <c r="Q39" s="8"/>
      <c r="R39" s="46"/>
      <c r="S39" s="8"/>
      <c r="T39" s="8">
        <v>205.93385355000001</v>
      </c>
      <c r="U39" s="8">
        <v>286.17165872999999</v>
      </c>
      <c r="V39" s="46">
        <v>380.38714055000003</v>
      </c>
      <c r="W39" s="8">
        <v>172.75159368000001</v>
      </c>
      <c r="X39" s="8">
        <v>207.45699675</v>
      </c>
      <c r="Y39" s="46"/>
      <c r="Z39" s="8"/>
      <c r="AA39" s="8">
        <v>96.950285059999999</v>
      </c>
      <c r="AB39" s="46" t="s">
        <v>298</v>
      </c>
    </row>
    <row r="40" spans="1:28" ht="15" customHeight="1" thickBot="1" x14ac:dyDescent="0.25">
      <c r="K40" s="136">
        <v>35</v>
      </c>
      <c r="L40" s="8">
        <v>100.59587075</v>
      </c>
      <c r="M40" s="46">
        <v>228.82330223</v>
      </c>
      <c r="N40" s="8">
        <v>167.03002635000001</v>
      </c>
      <c r="O40" s="46">
        <v>95.668635420000001</v>
      </c>
      <c r="P40" s="46">
        <v>122.79968063</v>
      </c>
      <c r="Q40" s="8"/>
      <c r="R40" s="46"/>
      <c r="S40" s="8"/>
      <c r="T40" s="8">
        <v>200.21452038999999</v>
      </c>
      <c r="U40" s="8">
        <v>278.56892640000001</v>
      </c>
      <c r="V40" s="46">
        <v>370.95141059999997</v>
      </c>
      <c r="W40" s="8">
        <v>168.30549859000001</v>
      </c>
      <c r="X40" s="8">
        <v>201.82537295</v>
      </c>
      <c r="Y40" s="46"/>
      <c r="Z40" s="8"/>
      <c r="AA40" s="8">
        <v>95.668635420000001</v>
      </c>
      <c r="AB40" s="46" t="s">
        <v>298</v>
      </c>
    </row>
    <row r="41" spans="1:28" ht="15" customHeight="1" thickBot="1" x14ac:dyDescent="0.25">
      <c r="K41" s="136">
        <v>36</v>
      </c>
      <c r="L41" s="8">
        <v>97.92728228</v>
      </c>
      <c r="M41" s="46">
        <v>222.691025</v>
      </c>
      <c r="N41" s="8">
        <v>164.56950576</v>
      </c>
      <c r="O41" s="46">
        <v>94.45816877</v>
      </c>
      <c r="P41" s="46">
        <v>121.95940014999999</v>
      </c>
      <c r="Q41" s="8"/>
      <c r="R41" s="46"/>
      <c r="S41" s="8"/>
      <c r="T41" s="8">
        <v>194.81283973999999</v>
      </c>
      <c r="U41" s="8">
        <v>271.38845077000002</v>
      </c>
      <c r="V41" s="46">
        <v>362.03974225000002</v>
      </c>
      <c r="W41" s="8">
        <v>164.10634017999999</v>
      </c>
      <c r="X41" s="8">
        <v>196.50653023999999</v>
      </c>
      <c r="Y41" s="46"/>
      <c r="Z41" s="8"/>
      <c r="AA41" s="8">
        <v>94.45816877</v>
      </c>
      <c r="AB41" s="46" t="s">
        <v>298</v>
      </c>
    </row>
    <row r="42" spans="1:28" ht="15" customHeight="1" thickBot="1" x14ac:dyDescent="0.25">
      <c r="K42" s="136">
        <v>37</v>
      </c>
      <c r="L42" s="8">
        <v>95.402902850000004</v>
      </c>
      <c r="M42" s="46">
        <v>216.89013265</v>
      </c>
      <c r="N42" s="8">
        <v>162.24195035</v>
      </c>
      <c r="O42" s="46">
        <v>93.313115069999995</v>
      </c>
      <c r="P42" s="46">
        <v>121.16452796999999</v>
      </c>
      <c r="Q42" s="8"/>
      <c r="R42" s="46"/>
      <c r="S42" s="8"/>
      <c r="T42" s="8">
        <v>189.70306292000001</v>
      </c>
      <c r="U42" s="8">
        <v>264.59600412999998</v>
      </c>
      <c r="V42" s="46">
        <v>353.60965562000001</v>
      </c>
      <c r="W42" s="8">
        <v>160.13410200000001</v>
      </c>
      <c r="X42" s="8">
        <v>191.47511488999999</v>
      </c>
      <c r="Y42" s="46"/>
      <c r="Z42" s="8"/>
      <c r="AA42" s="8">
        <v>93.313115069999995</v>
      </c>
      <c r="AB42" s="46" t="s">
        <v>298</v>
      </c>
    </row>
    <row r="43" spans="1:28" ht="15" customHeight="1" thickBot="1" x14ac:dyDescent="0.25">
      <c r="K43" s="136">
        <v>38</v>
      </c>
      <c r="L43" s="8">
        <v>93.011350559999997</v>
      </c>
      <c r="M43" s="46">
        <v>211.39447014000001</v>
      </c>
      <c r="N43" s="8">
        <v>160.03686561000001</v>
      </c>
      <c r="O43" s="46">
        <v>92.228311489999996</v>
      </c>
      <c r="P43" s="46">
        <v>120.41148015</v>
      </c>
      <c r="Q43" s="8"/>
      <c r="R43" s="46"/>
      <c r="S43" s="8"/>
      <c r="T43" s="8">
        <v>184.86215098</v>
      </c>
      <c r="U43" s="8">
        <v>258.16096059</v>
      </c>
      <c r="V43" s="46">
        <v>345.62314098000002</v>
      </c>
      <c r="W43" s="8">
        <v>156.37087396999999</v>
      </c>
      <c r="X43" s="8">
        <v>186.70844119</v>
      </c>
      <c r="Y43" s="46"/>
      <c r="Z43" s="8"/>
      <c r="AA43" s="8">
        <v>92.228311489999996</v>
      </c>
      <c r="AB43" s="46" t="s">
        <v>298</v>
      </c>
    </row>
    <row r="44" spans="1:28" ht="15" customHeight="1" thickBot="1" x14ac:dyDescent="0.25">
      <c r="K44" s="136">
        <v>39</v>
      </c>
      <c r="L44" s="8">
        <v>90.742410530000001</v>
      </c>
      <c r="M44" s="46">
        <v>206.18056422000001</v>
      </c>
      <c r="N44" s="8">
        <v>157.94483317000001</v>
      </c>
      <c r="O44" s="46">
        <v>91.199124609999998</v>
      </c>
      <c r="P44" s="46">
        <v>119.69704028</v>
      </c>
      <c r="Q44" s="8"/>
      <c r="R44" s="46"/>
      <c r="S44" s="8"/>
      <c r="T44" s="8">
        <v>180.26942729999999</v>
      </c>
      <c r="U44" s="8">
        <v>252.05583469999999</v>
      </c>
      <c r="V44" s="46">
        <v>338.04608622000001</v>
      </c>
      <c r="W44" s="8">
        <v>152.80058252000001</v>
      </c>
      <c r="X44" s="8">
        <v>182.18614962999999</v>
      </c>
      <c r="Y44" s="46"/>
      <c r="Z44" s="8"/>
      <c r="AA44" s="8">
        <v>90.742410530000001</v>
      </c>
      <c r="AB44" s="46" t="s">
        <v>251</v>
      </c>
    </row>
    <row r="45" spans="1:28" ht="15" customHeight="1" thickBot="1" x14ac:dyDescent="0.25">
      <c r="K45" s="136">
        <v>40</v>
      </c>
      <c r="L45" s="8">
        <v>88.586889150000005</v>
      </c>
      <c r="M45" s="46">
        <v>201.22728844</v>
      </c>
      <c r="N45" s="8">
        <v>155.95737618999999</v>
      </c>
      <c r="O45" s="46">
        <v>90.221384200000003</v>
      </c>
      <c r="P45" s="46">
        <v>119.01831348</v>
      </c>
      <c r="Q45" s="8"/>
      <c r="R45" s="46"/>
      <c r="S45" s="8"/>
      <c r="T45" s="8">
        <v>175.90628240999999</v>
      </c>
      <c r="U45" s="8">
        <v>246.25588882</v>
      </c>
      <c r="V45" s="46">
        <v>330.84778949999998</v>
      </c>
      <c r="W45" s="8">
        <v>149.40876102999999</v>
      </c>
      <c r="X45" s="8">
        <v>177.88991614</v>
      </c>
      <c r="Y45" s="46"/>
      <c r="Z45" s="8"/>
      <c r="AA45" s="8">
        <v>88.586889150000005</v>
      </c>
      <c r="AB45" s="46" t="s">
        <v>251</v>
      </c>
    </row>
    <row r="46" spans="1:28" ht="15" customHeight="1" thickBot="1" x14ac:dyDescent="0.25">
      <c r="K46" s="136">
        <v>41</v>
      </c>
      <c r="L46" s="8">
        <v>86.536489509999996</v>
      </c>
      <c r="M46" s="46">
        <v>196.51557692</v>
      </c>
      <c r="N46" s="8">
        <v>154.06684469999999</v>
      </c>
      <c r="O46" s="46">
        <v>89.291326830000003</v>
      </c>
      <c r="P46" s="46">
        <v>118.37268722</v>
      </c>
      <c r="Q46" s="8"/>
      <c r="R46" s="46"/>
      <c r="S46" s="8"/>
      <c r="T46" s="8">
        <v>171.75592194999999</v>
      </c>
      <c r="U46" s="8">
        <v>240.73879812999999</v>
      </c>
      <c r="V46" s="46">
        <v>324.00054360000001</v>
      </c>
      <c r="W46" s="8">
        <v>146.18235390999999</v>
      </c>
      <c r="X46" s="8">
        <v>173.80320391999999</v>
      </c>
      <c r="Y46" s="46"/>
      <c r="Z46" s="8"/>
      <c r="AA46" s="8">
        <v>86.536489509999996</v>
      </c>
      <c r="AB46" s="46" t="s">
        <v>251</v>
      </c>
    </row>
    <row r="47" spans="1:28" ht="15" customHeight="1" thickBot="1" x14ac:dyDescent="0.25">
      <c r="K47" s="136">
        <v>42</v>
      </c>
      <c r="L47" s="8">
        <v>84.583704699999998</v>
      </c>
      <c r="M47" s="46">
        <v>192.02817923000001</v>
      </c>
      <c r="N47" s="8">
        <v>152.26631707999999</v>
      </c>
      <c r="O47" s="46">
        <v>88.405547350000006</v>
      </c>
      <c r="P47" s="46">
        <v>117.75779777</v>
      </c>
      <c r="Q47" s="8"/>
      <c r="R47" s="46"/>
      <c r="S47" s="8"/>
      <c r="T47" s="8">
        <v>167.80315064999999</v>
      </c>
      <c r="U47" s="8">
        <v>235.48436351000001</v>
      </c>
      <c r="V47" s="46">
        <v>317.47927941</v>
      </c>
      <c r="W47" s="8">
        <v>143.10954864999999</v>
      </c>
      <c r="X47" s="8">
        <v>169.91105071000001</v>
      </c>
      <c r="Y47" s="46"/>
      <c r="Z47" s="8"/>
      <c r="AA47" s="8">
        <v>84.583704699999998</v>
      </c>
      <c r="AB47" s="46" t="s">
        <v>251</v>
      </c>
    </row>
    <row r="48" spans="1:28" ht="15" customHeight="1" thickBot="1" x14ac:dyDescent="0.25">
      <c r="K48" s="136">
        <v>43</v>
      </c>
      <c r="L48" s="8"/>
      <c r="M48" s="46">
        <v>187.74944919000001</v>
      </c>
      <c r="N48" s="8">
        <v>150.54951548</v>
      </c>
      <c r="O48" s="46">
        <v>87.560957349999995</v>
      </c>
      <c r="P48" s="46">
        <v>117.17150115</v>
      </c>
      <c r="Q48" s="8"/>
      <c r="R48" s="46"/>
      <c r="S48" s="8"/>
      <c r="T48" s="8">
        <v>164.03418644000001</v>
      </c>
      <c r="U48" s="8">
        <v>230.47426442</v>
      </c>
      <c r="V48" s="46">
        <v>311.26125936</v>
      </c>
      <c r="W48" s="8">
        <v>140.17963134999999</v>
      </c>
      <c r="X48" s="8">
        <v>166.19988581999999</v>
      </c>
      <c r="Y48" s="46"/>
      <c r="Z48" s="8"/>
      <c r="AA48" s="8">
        <v>87.560957349999995</v>
      </c>
      <c r="AB48" s="46" t="s">
        <v>298</v>
      </c>
    </row>
    <row r="49" spans="11:28" ht="15" customHeight="1" thickBot="1" x14ac:dyDescent="0.25">
      <c r="K49" s="136">
        <v>44</v>
      </c>
      <c r="L49" s="8"/>
      <c r="M49" s="46">
        <v>183.6651627</v>
      </c>
      <c r="N49" s="8">
        <v>148.91073256999999</v>
      </c>
      <c r="O49" s="46">
        <v>86.754749079999996</v>
      </c>
      <c r="P49" s="46">
        <v>116.61184833999999</v>
      </c>
      <c r="Q49" s="8"/>
      <c r="R49" s="46"/>
      <c r="S49" s="8"/>
      <c r="T49" s="8">
        <v>160.43649986</v>
      </c>
      <c r="U49" s="8">
        <v>225.69184529</v>
      </c>
      <c r="V49" s="46">
        <v>305.32581226999997</v>
      </c>
      <c r="W49" s="8">
        <v>137.38286181000001</v>
      </c>
      <c r="X49" s="8">
        <v>162.65737186999999</v>
      </c>
      <c r="Y49" s="46"/>
      <c r="Z49" s="8"/>
      <c r="AA49" s="8">
        <v>86.754749079999996</v>
      </c>
      <c r="AB49" s="46" t="s">
        <v>298</v>
      </c>
    </row>
    <row r="50" spans="11:28" ht="15" customHeight="1" thickBot="1" x14ac:dyDescent="0.25">
      <c r="K50" s="136">
        <v>45</v>
      </c>
      <c r="L50" s="8"/>
      <c r="M50" s="46">
        <v>179.76235969000001</v>
      </c>
      <c r="N50" s="8">
        <v>147.34476828999999</v>
      </c>
      <c r="O50" s="46">
        <v>85.984364319999997</v>
      </c>
      <c r="P50" s="46">
        <v>116.07706346000001</v>
      </c>
      <c r="Q50" s="8"/>
      <c r="R50" s="46"/>
      <c r="S50" s="8"/>
      <c r="T50" s="8">
        <v>156.99867492999999</v>
      </c>
      <c r="U50" s="8">
        <v>221.12193094</v>
      </c>
      <c r="V50" s="46">
        <v>299.65410429999997</v>
      </c>
      <c r="W50" s="8">
        <v>134.71036556000001</v>
      </c>
      <c r="X50" s="8">
        <v>159.27226804</v>
      </c>
      <c r="Y50" s="46"/>
      <c r="Z50" s="8"/>
      <c r="AA50" s="8">
        <v>85.984364319999997</v>
      </c>
      <c r="AB50" s="46" t="s">
        <v>298</v>
      </c>
    </row>
    <row r="51" spans="11:28" ht="15" customHeight="1" thickBot="1" x14ac:dyDescent="0.25">
      <c r="K51" s="136">
        <v>46</v>
      </c>
      <c r="L51" s="8"/>
      <c r="M51" s="46">
        <v>176.02920689999999</v>
      </c>
      <c r="N51" s="8">
        <v>145.84687459</v>
      </c>
      <c r="O51" s="46">
        <v>85.247467270000001</v>
      </c>
      <c r="P51" s="46">
        <v>115.56552504</v>
      </c>
      <c r="Q51" s="8"/>
      <c r="R51" s="46"/>
      <c r="S51" s="8"/>
      <c r="T51" s="8">
        <v>153.71028817000001</v>
      </c>
      <c r="U51" s="8">
        <v>216.75066532</v>
      </c>
      <c r="V51" s="46">
        <v>294.22893868</v>
      </c>
      <c r="W51" s="8">
        <v>132.15403952</v>
      </c>
      <c r="X51" s="8">
        <v>156.03431062999999</v>
      </c>
      <c r="Y51" s="46"/>
      <c r="Z51" s="8"/>
      <c r="AA51" s="8">
        <v>85.247467270000001</v>
      </c>
      <c r="AB51" s="46" t="s">
        <v>298</v>
      </c>
    </row>
    <row r="52" spans="11:28" ht="15" customHeight="1" thickBot="1" x14ac:dyDescent="0.25">
      <c r="K52" s="136">
        <v>47</v>
      </c>
      <c r="L52" s="8"/>
      <c r="M52" s="46">
        <v>172.45487788</v>
      </c>
      <c r="N52" s="8">
        <v>144.41270750999999</v>
      </c>
      <c r="O52" s="46">
        <v>84.541920880000006</v>
      </c>
      <c r="P52" s="46">
        <v>115.07574957999999</v>
      </c>
      <c r="Q52" s="8"/>
      <c r="R52" s="46"/>
      <c r="S52" s="8"/>
      <c r="T52" s="8">
        <v>150.561803</v>
      </c>
      <c r="U52" s="8">
        <v>212.56537143</v>
      </c>
      <c r="V52" s="46">
        <v>289.03458207</v>
      </c>
      <c r="W52" s="8">
        <v>129.70647016999999</v>
      </c>
      <c r="X52" s="8">
        <v>152.93410933000001</v>
      </c>
      <c r="Y52" s="46"/>
      <c r="Z52" s="8"/>
      <c r="AA52" s="8">
        <v>84.541920880000006</v>
      </c>
      <c r="AB52" s="46" t="s">
        <v>298</v>
      </c>
    </row>
    <row r="53" spans="11:28" ht="15" customHeight="1" thickBot="1" x14ac:dyDescent="0.25">
      <c r="K53" s="136">
        <v>48</v>
      </c>
      <c r="L53" s="8"/>
      <c r="M53" s="46">
        <v>169.02944823000001</v>
      </c>
      <c r="N53" s="8">
        <v>143.03828493</v>
      </c>
      <c r="O53" s="46">
        <v>83.865766129999997</v>
      </c>
      <c r="P53" s="46">
        <v>114.60531096</v>
      </c>
      <c r="Q53" s="8"/>
      <c r="R53" s="46"/>
      <c r="S53" s="8"/>
      <c r="T53" s="8">
        <v>147.54447737000001</v>
      </c>
      <c r="U53" s="8">
        <v>208.55442847</v>
      </c>
      <c r="V53" s="46">
        <v>284.05661192999997</v>
      </c>
      <c r="W53" s="8">
        <v>127.36086165</v>
      </c>
      <c r="X53" s="8">
        <v>149.96305619</v>
      </c>
      <c r="Y53" s="46"/>
      <c r="Z53" s="8"/>
      <c r="AA53" s="8">
        <v>83.865766129999997</v>
      </c>
      <c r="AB53" s="46" t="s">
        <v>298</v>
      </c>
    </row>
    <row r="54" spans="11:28" ht="15" customHeight="1" thickBot="1" x14ac:dyDescent="0.25">
      <c r="K54" s="136">
        <v>49</v>
      </c>
      <c r="L54" s="8"/>
      <c r="M54" s="46">
        <v>165.74380350000001</v>
      </c>
      <c r="N54" s="8">
        <v>141.71994979999999</v>
      </c>
      <c r="O54" s="46">
        <v>83.217203900000001</v>
      </c>
      <c r="P54" s="46">
        <v>114.15234089</v>
      </c>
      <c r="Q54" s="8"/>
      <c r="R54" s="46"/>
      <c r="S54" s="8"/>
      <c r="T54" s="8">
        <v>144.65028276999999</v>
      </c>
      <c r="U54" s="8">
        <v>204.70716407</v>
      </c>
      <c r="V54" s="46">
        <v>279.28178278000001</v>
      </c>
      <c r="W54" s="8">
        <v>125.11097271</v>
      </c>
      <c r="X54" s="8">
        <v>147.11324576999999</v>
      </c>
      <c r="Y54" s="46"/>
      <c r="Z54" s="8"/>
      <c r="AA54" s="8">
        <v>83.217203900000001</v>
      </c>
      <c r="AB54" s="46" t="s">
        <v>298</v>
      </c>
    </row>
    <row r="55" spans="11:28" ht="15" customHeight="1" thickBot="1" x14ac:dyDescent="0.25">
      <c r="K55" s="136">
        <v>50</v>
      </c>
      <c r="L55" s="8"/>
      <c r="M55" s="46">
        <v>162.58955827</v>
      </c>
      <c r="N55" s="8">
        <v>140.45433752</v>
      </c>
      <c r="O55" s="46">
        <v>82.594578970000001</v>
      </c>
      <c r="P55" s="46">
        <v>113.71748601</v>
      </c>
      <c r="Q55" s="8"/>
      <c r="R55" s="46"/>
      <c r="S55" s="8"/>
      <c r="T55" s="8">
        <v>141.87183279999999</v>
      </c>
      <c r="U55" s="8">
        <v>201.01375948</v>
      </c>
      <c r="V55" s="46">
        <v>274.69790861000001</v>
      </c>
      <c r="W55" s="8">
        <v>122.95106134</v>
      </c>
      <c r="X55" s="8">
        <v>144.37740499</v>
      </c>
      <c r="Y55" s="46"/>
      <c r="Z55" s="8"/>
      <c r="AA55" s="8">
        <v>82.594578970000001</v>
      </c>
      <c r="AB55" s="46" t="s">
        <v>298</v>
      </c>
    </row>
    <row r="56" spans="11:28" ht="15" customHeight="1" thickBot="1" x14ac:dyDescent="0.25">
      <c r="K56" s="136">
        <v>51</v>
      </c>
      <c r="L56" s="8"/>
      <c r="M56" s="46">
        <v>159.55898468000001</v>
      </c>
      <c r="N56" s="8">
        <v>139.23834736000001</v>
      </c>
      <c r="O56" s="46">
        <v>81.996365909999994</v>
      </c>
      <c r="P56" s="46">
        <v>113.29968092</v>
      </c>
      <c r="Q56" s="8"/>
      <c r="R56" s="46"/>
      <c r="S56" s="8"/>
      <c r="T56" s="8">
        <v>139.2023203</v>
      </c>
      <c r="U56" s="8">
        <v>197.46516586999999</v>
      </c>
      <c r="V56" s="46">
        <v>270.29375894999998</v>
      </c>
      <c r="W56" s="8">
        <v>120.87583576</v>
      </c>
      <c r="X56" s="8">
        <v>141.74883102999999</v>
      </c>
      <c r="Y56" s="46"/>
      <c r="Z56" s="8"/>
      <c r="AA56" s="8">
        <v>81.996365909999994</v>
      </c>
      <c r="AB56" s="46" t="s">
        <v>298</v>
      </c>
    </row>
    <row r="57" spans="11:28" ht="15" customHeight="1" thickBot="1" x14ac:dyDescent="0.25">
      <c r="K57" s="136">
        <v>52</v>
      </c>
      <c r="L57" s="8"/>
      <c r="M57" s="46">
        <v>156.64494922</v>
      </c>
      <c r="N57" s="8">
        <v>138.06911708000001</v>
      </c>
      <c r="O57" s="46">
        <v>81.421156640000007</v>
      </c>
      <c r="P57" s="46">
        <v>112.89794216999999</v>
      </c>
      <c r="Q57" s="8"/>
      <c r="R57" s="46"/>
      <c r="S57" s="8"/>
      <c r="T57" s="8">
        <v>136.63546160999999</v>
      </c>
      <c r="U57" s="8">
        <v>194.05303039</v>
      </c>
      <c r="V57" s="46">
        <v>266.05896709000001</v>
      </c>
      <c r="W57" s="8">
        <v>118.88041121000001</v>
      </c>
      <c r="X57" s="8">
        <v>139.22133664</v>
      </c>
      <c r="Y57" s="46"/>
      <c r="Z57" s="8"/>
      <c r="AA57" s="8">
        <v>81.421156640000007</v>
      </c>
      <c r="AB57" s="46" t="s">
        <v>298</v>
      </c>
    </row>
    <row r="58" spans="11:28" ht="15" customHeight="1" thickBot="1" x14ac:dyDescent="0.25">
      <c r="K58" s="136">
        <v>53</v>
      </c>
      <c r="L58" s="8"/>
      <c r="M58" s="46">
        <v>153.84085661</v>
      </c>
      <c r="N58" s="8">
        <v>136.94400035999999</v>
      </c>
      <c r="O58" s="46">
        <v>80.867649270000001</v>
      </c>
      <c r="P58" s="46">
        <v>112.51136049999999</v>
      </c>
      <c r="Q58" s="8"/>
      <c r="R58" s="46"/>
      <c r="S58" s="8"/>
      <c r="T58" s="8"/>
      <c r="U58" s="8">
        <v>190.76963047000001</v>
      </c>
      <c r="V58" s="46">
        <v>261.98394860000002</v>
      </c>
      <c r="W58" s="8">
        <v>116.96027151</v>
      </c>
      <c r="X58" s="8">
        <v>136.78920142000001</v>
      </c>
      <c r="Y58" s="46"/>
      <c r="Z58" s="8"/>
      <c r="AA58" s="8">
        <v>80.867649270000001</v>
      </c>
      <c r="AB58" s="46" t="s">
        <v>298</v>
      </c>
    </row>
    <row r="59" spans="11:28" ht="15" customHeight="1" thickBot="1" x14ac:dyDescent="0.25">
      <c r="K59" s="136">
        <v>54</v>
      </c>
      <c r="L59" s="8"/>
      <c r="M59" s="46">
        <v>151.14060006</v>
      </c>
      <c r="N59" s="8">
        <v>135.86054691000001</v>
      </c>
      <c r="O59" s="46">
        <v>80.334638380000001</v>
      </c>
      <c r="P59" s="46">
        <v>112.13909402</v>
      </c>
      <c r="Q59" s="8"/>
      <c r="R59" s="46"/>
      <c r="S59" s="8"/>
      <c r="T59" s="8"/>
      <c r="U59" s="8">
        <v>187.60781542999999</v>
      </c>
      <c r="V59" s="46">
        <v>258.05982874</v>
      </c>
      <c r="W59" s="8">
        <v>115.11123490999999</v>
      </c>
      <c r="X59" s="8">
        <v>134.44712859000001</v>
      </c>
      <c r="Y59" s="46"/>
      <c r="Z59" s="8"/>
      <c r="AA59" s="8">
        <v>80.334638380000001</v>
      </c>
      <c r="AB59" s="46" t="s">
        <v>298</v>
      </c>
    </row>
    <row r="60" spans="11:28" ht="15" customHeight="1" thickBot="1" x14ac:dyDescent="0.25">
      <c r="K60" s="136">
        <v>55</v>
      </c>
      <c r="L60" s="8"/>
      <c r="M60" s="46">
        <v>148.5385168</v>
      </c>
      <c r="N60" s="8">
        <v>134.81648461</v>
      </c>
      <c r="O60" s="46">
        <v>79.821006190000006</v>
      </c>
      <c r="P60" s="46">
        <v>111.78036204999999</v>
      </c>
      <c r="Q60" s="8"/>
      <c r="R60" s="46"/>
      <c r="S60" s="8"/>
      <c r="T60" s="8"/>
      <c r="U60" s="8">
        <v>184.56095457000001</v>
      </c>
      <c r="V60" s="46">
        <v>254.27837819000001</v>
      </c>
      <c r="W60" s="8">
        <v>113.32942377000001</v>
      </c>
      <c r="X60" s="8">
        <v>132.19020655</v>
      </c>
      <c r="Y60" s="46"/>
      <c r="Z60" s="8"/>
      <c r="AA60" s="8">
        <v>79.821006190000006</v>
      </c>
      <c r="AB60" s="46" t="s">
        <v>298</v>
      </c>
    </row>
    <row r="61" spans="11:28" ht="15" customHeight="1" thickBot="1" x14ac:dyDescent="0.25">
      <c r="K61" s="136">
        <v>56</v>
      </c>
      <c r="L61" s="8"/>
      <c r="M61" s="46">
        <v>146.02934848999999</v>
      </c>
      <c r="N61" s="8">
        <v>133.80970359</v>
      </c>
      <c r="O61" s="46">
        <v>79.325714719999993</v>
      </c>
      <c r="P61" s="46">
        <v>111.43443965</v>
      </c>
      <c r="Q61" s="8"/>
      <c r="R61" s="46"/>
      <c r="S61" s="8"/>
      <c r="T61" s="8"/>
      <c r="U61" s="8">
        <v>181.62289072999999</v>
      </c>
      <c r="V61" s="46">
        <v>250.63195533999999</v>
      </c>
      <c r="W61" s="8">
        <v>111.61123739</v>
      </c>
      <c r="X61" s="8">
        <v>130.01387448</v>
      </c>
      <c r="Y61" s="46"/>
      <c r="Z61" s="8"/>
      <c r="AA61" s="8">
        <v>79.325714719999993</v>
      </c>
      <c r="AB61" s="46" t="s">
        <v>298</v>
      </c>
    </row>
    <row r="62" spans="11:28" ht="15" customHeight="1" thickBot="1" x14ac:dyDescent="0.25">
      <c r="K62" s="136">
        <v>57</v>
      </c>
      <c r="L62" s="8"/>
      <c r="M62" s="46">
        <v>143.60820573000001</v>
      </c>
      <c r="N62" s="8">
        <v>132.83824202</v>
      </c>
      <c r="O62" s="46">
        <v>78.847798850000004</v>
      </c>
      <c r="P62" s="46">
        <v>111.10065274</v>
      </c>
      <c r="Q62" s="8"/>
      <c r="R62" s="46"/>
      <c r="S62" s="8"/>
      <c r="T62" s="8"/>
      <c r="U62" s="8">
        <v>178.78789881</v>
      </c>
      <c r="V62" s="46">
        <v>247.11345474000001</v>
      </c>
      <c r="W62" s="8">
        <v>109.95332768999999</v>
      </c>
      <c r="X62" s="8">
        <v>127.91389157</v>
      </c>
      <c r="Y62" s="46"/>
      <c r="Z62" s="8"/>
      <c r="AA62" s="8">
        <v>78.847798850000004</v>
      </c>
      <c r="AB62" s="46" t="s">
        <v>298</v>
      </c>
    </row>
    <row r="63" spans="11:28" ht="15" customHeight="1" thickBot="1" x14ac:dyDescent="0.25">
      <c r="K63" s="136">
        <v>58</v>
      </c>
      <c r="L63" s="8"/>
      <c r="M63" s="46">
        <v>141.27053627000001</v>
      </c>
      <c r="N63" s="8">
        <v>131.90027336</v>
      </c>
      <c r="O63" s="46">
        <v>78.386359999999996</v>
      </c>
      <c r="P63" s="46">
        <v>110.77837375</v>
      </c>
      <c r="Q63" s="8"/>
      <c r="R63" s="46"/>
      <c r="S63" s="8"/>
      <c r="T63" s="8"/>
      <c r="U63" s="8">
        <v>176.05064834999999</v>
      </c>
      <c r="V63" s="46">
        <v>243.71626082</v>
      </c>
      <c r="W63" s="8">
        <v>108.35257743</v>
      </c>
      <c r="X63" s="8">
        <v>125.88630936</v>
      </c>
      <c r="Y63" s="46"/>
      <c r="Z63" s="8"/>
      <c r="AA63" s="8">
        <v>78.386359999999996</v>
      </c>
      <c r="AB63" s="46" t="s">
        <v>298</v>
      </c>
    </row>
    <row r="64" spans="11:28" ht="15" customHeight="1" thickBot="1" x14ac:dyDescent="0.25">
      <c r="K64" s="136">
        <v>59</v>
      </c>
      <c r="L64" s="8"/>
      <c r="M64" s="46">
        <v>139.01209641</v>
      </c>
      <c r="N64" s="8">
        <v>130.99409485000001</v>
      </c>
      <c r="O64" s="46">
        <v>77.940560500000004</v>
      </c>
      <c r="P64" s="46">
        <v>110.46701761</v>
      </c>
      <c r="Q64" s="8"/>
      <c r="R64" s="46"/>
      <c r="S64" s="8"/>
      <c r="T64" s="8"/>
      <c r="U64" s="8">
        <v>173.40617032</v>
      </c>
      <c r="V64" s="46">
        <v>240.43420649000001</v>
      </c>
      <c r="W64" s="8">
        <v>106.80608067999999</v>
      </c>
      <c r="X64" s="8">
        <v>123.92744711</v>
      </c>
      <c r="Y64" s="46"/>
      <c r="Z64" s="8"/>
      <c r="AA64" s="8">
        <v>77.940560500000004</v>
      </c>
      <c r="AB64" s="46" t="s">
        <v>298</v>
      </c>
    </row>
    <row r="65" spans="11:28" ht="15" customHeight="1" thickBot="1" x14ac:dyDescent="0.25">
      <c r="K65" s="136">
        <v>60</v>
      </c>
      <c r="L65" s="8"/>
      <c r="M65" s="46">
        <v>136.82892533</v>
      </c>
      <c r="N65" s="8">
        <v>130.11811727</v>
      </c>
      <c r="O65" s="46">
        <v>77.509618500000002</v>
      </c>
      <c r="P65" s="46">
        <v>110.16603828</v>
      </c>
      <c r="Q65" s="8"/>
      <c r="R65" s="46"/>
      <c r="S65" s="8"/>
      <c r="T65" s="8"/>
      <c r="U65" s="8">
        <v>170.84982687999999</v>
      </c>
      <c r="V65" s="46">
        <v>237.26153575000001</v>
      </c>
      <c r="W65" s="8">
        <v>105.31112525</v>
      </c>
      <c r="X65" s="8">
        <v>122.03386938</v>
      </c>
      <c r="Y65" s="46"/>
      <c r="Z65" s="8"/>
      <c r="AA65" s="8">
        <v>77.509618500000002</v>
      </c>
      <c r="AB65" s="46" t="s">
        <v>298</v>
      </c>
    </row>
    <row r="66" spans="11:28" ht="15" customHeight="1" thickBot="1" x14ac:dyDescent="0.25">
      <c r="K66" s="136">
        <v>61</v>
      </c>
      <c r="L66" s="8"/>
      <c r="M66" s="46">
        <v>134.7173219</v>
      </c>
      <c r="N66" s="8">
        <v>129.27085554000001</v>
      </c>
      <c r="O66" s="46">
        <v>77.092803430000004</v>
      </c>
      <c r="P66" s="46">
        <v>109.87492551</v>
      </c>
      <c r="Q66" s="8"/>
      <c r="R66" s="46"/>
      <c r="S66" s="8"/>
      <c r="T66" s="8"/>
      <c r="U66" s="8"/>
      <c r="V66" s="46">
        <v>234.19286994000001</v>
      </c>
      <c r="W66" s="8">
        <v>103.86517671</v>
      </c>
      <c r="X66" s="8">
        <v>120.202366</v>
      </c>
      <c r="Y66" s="46"/>
      <c r="Z66" s="8"/>
      <c r="AA66" s="8">
        <v>77.092803430000004</v>
      </c>
      <c r="AB66" s="46" t="s">
        <v>298</v>
      </c>
    </row>
    <row r="67" spans="11:28" ht="15" customHeight="1" thickBot="1" x14ac:dyDescent="0.25">
      <c r="K67" s="136">
        <v>62</v>
      </c>
      <c r="L67" s="8"/>
      <c r="M67" s="46">
        <v>132.67382370999999</v>
      </c>
      <c r="N67" s="8">
        <v>128.45092044</v>
      </c>
      <c r="O67" s="46">
        <v>76.689431839999997</v>
      </c>
      <c r="P67" s="46">
        <v>109.59320196</v>
      </c>
      <c r="Q67" s="8"/>
      <c r="R67" s="46"/>
      <c r="S67" s="8"/>
      <c r="T67" s="8"/>
      <c r="U67" s="8"/>
      <c r="V67" s="46">
        <v>231.22317738000001</v>
      </c>
      <c r="W67" s="8">
        <v>102.46586413999999</v>
      </c>
      <c r="X67" s="8">
        <v>118.42993383</v>
      </c>
      <c r="Y67" s="46"/>
      <c r="Z67" s="8"/>
      <c r="AA67" s="8">
        <v>76.689431839999997</v>
      </c>
      <c r="AB67" s="46" t="s">
        <v>298</v>
      </c>
    </row>
    <row r="68" spans="11:28" ht="15" customHeight="1" thickBot="1" x14ac:dyDescent="0.25">
      <c r="K68" s="136">
        <v>63</v>
      </c>
      <c r="L68" s="8"/>
      <c r="M68" s="46">
        <v>130.69518821</v>
      </c>
      <c r="N68" s="8">
        <v>127.65701089</v>
      </c>
      <c r="O68" s="46">
        <v>76.298863670000003</v>
      </c>
      <c r="P68" s="46">
        <v>109.32042060000001</v>
      </c>
      <c r="Q68" s="8"/>
      <c r="R68" s="46"/>
      <c r="S68" s="8"/>
      <c r="T68" s="8"/>
      <c r="U68" s="8"/>
      <c r="V68" s="46">
        <v>228.34774583000001</v>
      </c>
      <c r="W68" s="8">
        <v>101.11096714999999</v>
      </c>
      <c r="X68" s="8">
        <v>116.71376042999999</v>
      </c>
      <c r="Y68" s="46"/>
      <c r="Z68" s="8"/>
      <c r="AA68" s="8">
        <v>76.298863670000003</v>
      </c>
      <c r="AB68" s="46" t="s">
        <v>298</v>
      </c>
    </row>
    <row r="69" spans="11:28" ht="15" customHeight="1" thickBot="1" x14ac:dyDescent="0.25">
      <c r="K69" s="136">
        <v>64</v>
      </c>
      <c r="L69" s="8"/>
      <c r="M69" s="46">
        <v>128.77837539000001</v>
      </c>
      <c r="N69" s="8">
        <v>126.88790714</v>
      </c>
      <c r="O69" s="46">
        <v>75.920498850000001</v>
      </c>
      <c r="P69" s="46">
        <v>109.05616232</v>
      </c>
      <c r="Q69" s="8"/>
      <c r="R69" s="46"/>
      <c r="S69" s="8"/>
      <c r="T69" s="8"/>
      <c r="U69" s="8"/>
      <c r="V69" s="46">
        <v>225.56215748</v>
      </c>
      <c r="W69" s="8">
        <v>99.798404079999997</v>
      </c>
      <c r="X69" s="8">
        <v>115.05120908000001</v>
      </c>
      <c r="Y69" s="46"/>
      <c r="Z69" s="8"/>
      <c r="AA69" s="8">
        <v>75.920498850000001</v>
      </c>
      <c r="AB69" s="46" t="s">
        <v>298</v>
      </c>
    </row>
    <row r="70" spans="11:28" ht="15" customHeight="1" thickBot="1" x14ac:dyDescent="0.25">
      <c r="K70" s="136">
        <v>65</v>
      </c>
      <c r="L70" s="8"/>
      <c r="M70" s="46">
        <v>126.92053236</v>
      </c>
      <c r="N70" s="8">
        <v>126.14246448999999</v>
      </c>
      <c r="O70" s="46">
        <v>75.553774230000002</v>
      </c>
      <c r="P70" s="46">
        <v>108.80003382</v>
      </c>
      <c r="Q70" s="8"/>
      <c r="R70" s="46"/>
      <c r="S70" s="8"/>
      <c r="T70" s="8"/>
      <c r="U70" s="8"/>
      <c r="V70" s="46">
        <v>222.86226633999999</v>
      </c>
      <c r="W70" s="8">
        <v>98.52622135</v>
      </c>
      <c r="X70" s="8">
        <v>113.43980526999999</v>
      </c>
      <c r="Y70" s="46"/>
      <c r="Z70" s="8"/>
      <c r="AA70" s="8">
        <v>75.553774230000002</v>
      </c>
      <c r="AB70" s="46" t="s">
        <v>298</v>
      </c>
    </row>
    <row r="71" spans="11:28" ht="15" customHeight="1" thickBot="1" x14ac:dyDescent="0.25">
      <c r="K71" s="136">
        <v>66</v>
      </c>
      <c r="L71" s="8"/>
      <c r="M71" s="46">
        <v>125.11897906999999</v>
      </c>
      <c r="N71" s="8">
        <v>125.41960757</v>
      </c>
      <c r="O71" s="46">
        <v>75.198160790000003</v>
      </c>
      <c r="P71" s="46">
        <v>108.55166560000001</v>
      </c>
      <c r="Q71" s="8"/>
      <c r="R71" s="46"/>
      <c r="S71" s="8"/>
      <c r="T71" s="8"/>
      <c r="U71" s="8"/>
      <c r="V71" s="46">
        <v>220.24417769999999</v>
      </c>
      <c r="W71" s="8">
        <v>97.292583769999993</v>
      </c>
      <c r="X71" s="8">
        <v>111.87722448</v>
      </c>
      <c r="Y71" s="46"/>
      <c r="Z71" s="8"/>
      <c r="AA71" s="8">
        <v>75.198160790000003</v>
      </c>
      <c r="AB71" s="46" t="s">
        <v>298</v>
      </c>
    </row>
    <row r="72" spans="11:28" ht="15" customHeight="1" thickBot="1" x14ac:dyDescent="0.25">
      <c r="K72" s="136">
        <v>67</v>
      </c>
      <c r="L72" s="8"/>
      <c r="M72" s="46">
        <v>123.37119547</v>
      </c>
      <c r="N72" s="8">
        <v>124.71832525000001</v>
      </c>
      <c r="O72" s="46">
        <v>74.85316109</v>
      </c>
      <c r="P72" s="46">
        <v>108.31071025999999</v>
      </c>
      <c r="Q72" s="8"/>
      <c r="R72" s="46"/>
      <c r="S72" s="8"/>
      <c r="T72" s="8"/>
      <c r="U72" s="8"/>
      <c r="V72" s="46">
        <v>217.70422929</v>
      </c>
      <c r="W72" s="8">
        <v>96.095765700000001</v>
      </c>
      <c r="X72" s="8">
        <v>110.36128094</v>
      </c>
      <c r="Y72" s="46"/>
      <c r="Z72" s="8"/>
      <c r="AA72" s="8">
        <v>74.85316109</v>
      </c>
      <c r="AB72" s="46" t="s">
        <v>298</v>
      </c>
    </row>
    <row r="73" spans="11:28" ht="15" customHeight="1" thickBot="1" x14ac:dyDescent="0.25">
      <c r="K73" s="136">
        <v>68</v>
      </c>
      <c r="L73" s="8"/>
      <c r="M73" s="46">
        <v>121.67480972</v>
      </c>
      <c r="N73" s="8">
        <v>124.03766586</v>
      </c>
      <c r="O73" s="46">
        <v>74.518306949999996</v>
      </c>
      <c r="P73" s="46">
        <v>108.0768408</v>
      </c>
      <c r="Q73" s="8"/>
      <c r="R73" s="46"/>
      <c r="S73" s="8"/>
      <c r="T73" s="8"/>
      <c r="U73" s="8"/>
      <c r="V73" s="46">
        <v>215.23897425999999</v>
      </c>
      <c r="W73" s="8">
        <v>94.934142980000004</v>
      </c>
      <c r="X73" s="8">
        <v>108.88991742</v>
      </c>
      <c r="Y73" s="46"/>
      <c r="Z73" s="8"/>
      <c r="AA73" s="8">
        <v>74.518306949999996</v>
      </c>
      <c r="AB73" s="46" t="s">
        <v>298</v>
      </c>
    </row>
    <row r="74" spans="11:28" ht="15" customHeight="1" thickBot="1" x14ac:dyDescent="0.25">
      <c r="K74" s="136">
        <v>69</v>
      </c>
      <c r="L74" s="8"/>
      <c r="M74" s="46">
        <v>120.02758743</v>
      </c>
      <c r="N74" s="8">
        <v>123.37673286</v>
      </c>
      <c r="O74" s="46">
        <v>74.193157319999997</v>
      </c>
      <c r="P74" s="46">
        <v>107.84974918</v>
      </c>
      <c r="Q74" s="8"/>
      <c r="R74" s="46"/>
      <c r="S74" s="8"/>
      <c r="T74" s="8"/>
      <c r="U74" s="8"/>
      <c r="V74" s="46">
        <v>212.84516556</v>
      </c>
      <c r="W74" s="8">
        <v>93.806185619999994</v>
      </c>
      <c r="X74" s="8">
        <v>107.46119594</v>
      </c>
      <c r="Y74" s="46"/>
      <c r="Z74" s="8"/>
      <c r="AA74" s="8">
        <v>74.193157319999997</v>
      </c>
      <c r="AB74" s="46" t="s">
        <v>298</v>
      </c>
    </row>
    <row r="75" spans="11:28" ht="15" customHeight="1" thickBot="1" x14ac:dyDescent="0.25">
      <c r="K75" s="136">
        <v>70</v>
      </c>
      <c r="L75" s="8"/>
      <c r="M75" s="46">
        <v>118.42742192</v>
      </c>
      <c r="N75" s="8">
        <v>122.73468097999999</v>
      </c>
      <c r="O75" s="46">
        <v>73.877296360000003</v>
      </c>
      <c r="P75" s="46">
        <v>107.62914497</v>
      </c>
      <c r="Q75" s="8"/>
      <c r="R75" s="46"/>
      <c r="S75" s="8"/>
      <c r="T75" s="8"/>
      <c r="U75" s="8"/>
      <c r="V75" s="46">
        <v>210.51974163</v>
      </c>
      <c r="W75" s="8">
        <v>92.710451000000006</v>
      </c>
      <c r="X75" s="8">
        <v>106.07328925</v>
      </c>
      <c r="Y75" s="46"/>
      <c r="Z75" s="8"/>
      <c r="AA75" s="8">
        <v>73.877296360000003</v>
      </c>
      <c r="AB75" s="46" t="s">
        <v>298</v>
      </c>
    </row>
    <row r="76" spans="11:28" ht="15" customHeight="1" thickBot="1" x14ac:dyDescent="0.25">
      <c r="K76" s="136">
        <v>71</v>
      </c>
      <c r="L76" s="8"/>
      <c r="M76" s="46"/>
      <c r="N76" s="8">
        <v>122.11071250000001</v>
      </c>
      <c r="O76" s="46">
        <v>73.570331640000006</v>
      </c>
      <c r="P76" s="46">
        <v>107.41475409</v>
      </c>
      <c r="Q76" s="8"/>
      <c r="R76" s="46"/>
      <c r="S76" s="8"/>
      <c r="T76" s="8"/>
      <c r="U76" s="8"/>
      <c r="V76" s="46">
        <v>208.25981335</v>
      </c>
      <c r="W76" s="8">
        <v>91.645577799999998</v>
      </c>
      <c r="X76" s="8">
        <v>104.724473</v>
      </c>
      <c r="Y76" s="46"/>
      <c r="Z76" s="8"/>
      <c r="AA76" s="8">
        <v>73.570331640000006</v>
      </c>
      <c r="AB76" s="46" t="s">
        <v>298</v>
      </c>
    </row>
    <row r="77" spans="11:28" ht="15" customHeight="1" thickBot="1" x14ac:dyDescent="0.25">
      <c r="K77" s="136">
        <v>72</v>
      </c>
      <c r="L77" s="8"/>
      <c r="M77" s="46"/>
      <c r="N77" s="8">
        <v>121.50407408</v>
      </c>
      <c r="O77" s="46">
        <v>73.271892530000002</v>
      </c>
      <c r="P77" s="46">
        <v>107.20631768</v>
      </c>
      <c r="Q77" s="8"/>
      <c r="R77" s="46"/>
      <c r="S77" s="8"/>
      <c r="T77" s="8"/>
      <c r="U77" s="8"/>
      <c r="V77" s="46">
        <v>206.06265214000001</v>
      </c>
      <c r="W77" s="8">
        <v>90.610280299999999</v>
      </c>
      <c r="X77" s="8">
        <v>103.41311867</v>
      </c>
      <c r="Y77" s="46"/>
      <c r="Z77" s="8"/>
      <c r="AA77" s="8">
        <v>73.271892530000002</v>
      </c>
      <c r="AB77" s="46" t="s">
        <v>298</v>
      </c>
    </row>
    <row r="78" spans="11:28" ht="15" customHeight="1" thickBot="1" x14ac:dyDescent="0.25">
      <c r="K78" s="136">
        <v>73</v>
      </c>
      <c r="L78" s="8"/>
      <c r="M78" s="46"/>
      <c r="N78" s="8">
        <v>120.91405362</v>
      </c>
      <c r="O78" s="46">
        <v>72.981628709999995</v>
      </c>
      <c r="P78" s="46">
        <v>107.00359107</v>
      </c>
      <c r="Q78" s="8"/>
      <c r="R78" s="46"/>
      <c r="S78" s="8"/>
      <c r="T78" s="8"/>
      <c r="U78" s="8"/>
      <c r="V78" s="46">
        <v>203.92567889</v>
      </c>
      <c r="W78" s="8">
        <v>89.603343229999993</v>
      </c>
      <c r="X78" s="8">
        <v>102.13768693999999</v>
      </c>
      <c r="Y78" s="46"/>
      <c r="Z78" s="8"/>
      <c r="AA78" s="8">
        <v>72.981628709999995</v>
      </c>
      <c r="AB78" s="46" t="s">
        <v>298</v>
      </c>
    </row>
    <row r="79" spans="11:28" ht="15" customHeight="1" thickBot="1" x14ac:dyDescent="0.25">
      <c r="K79" s="136">
        <v>74</v>
      </c>
      <c r="L79" s="8"/>
      <c r="M79" s="46"/>
      <c r="N79" s="8">
        <v>120.33997749</v>
      </c>
      <c r="O79" s="46">
        <v>72.699208799999994</v>
      </c>
      <c r="P79" s="46">
        <v>106.80634282</v>
      </c>
      <c r="Q79" s="8"/>
      <c r="R79" s="46"/>
      <c r="S79" s="8"/>
      <c r="T79" s="8"/>
      <c r="U79" s="8"/>
      <c r="V79" s="46">
        <v>201.84645387</v>
      </c>
      <c r="W79" s="8">
        <v>88.623616990000002</v>
      </c>
      <c r="X79" s="8">
        <v>100.89672167000001</v>
      </c>
      <c r="Y79" s="46"/>
      <c r="Z79" s="8"/>
      <c r="AA79" s="8">
        <v>72.699208799999994</v>
      </c>
      <c r="AB79" s="46" t="s">
        <v>298</v>
      </c>
    </row>
    <row r="80" spans="11:28" ht="15" customHeight="1" thickBot="1" x14ac:dyDescent="0.25">
      <c r="K80" s="136">
        <v>75</v>
      </c>
      <c r="L80" s="8"/>
      <c r="M80" s="46"/>
      <c r="N80" s="8">
        <v>119.78120803</v>
      </c>
      <c r="O80" s="46">
        <v>72.424319080000004</v>
      </c>
      <c r="P80" s="46">
        <v>106.61435382000001</v>
      </c>
      <c r="Q80" s="8"/>
      <c r="R80" s="46"/>
      <c r="S80" s="8"/>
      <c r="T80" s="8"/>
      <c r="U80" s="8"/>
      <c r="V80" s="46">
        <v>199.82266747</v>
      </c>
      <c r="W80" s="8">
        <v>87.670013319999995</v>
      </c>
      <c r="X80" s="8">
        <v>99.688844410000002</v>
      </c>
      <c r="Y80" s="46"/>
      <c r="Z80" s="8"/>
      <c r="AA80" s="8">
        <v>72.424319080000004</v>
      </c>
      <c r="AB80" s="46" t="s">
        <v>298</v>
      </c>
    </row>
    <row r="81" spans="11:28" ht="15" customHeight="1" thickBot="1" x14ac:dyDescent="0.25">
      <c r="K81" s="136">
        <v>76</v>
      </c>
      <c r="L81" s="8"/>
      <c r="M81" s="46"/>
      <c r="N81" s="8">
        <v>119.23714108</v>
      </c>
      <c r="O81" s="46">
        <v>72.156662350000005</v>
      </c>
      <c r="P81" s="46">
        <v>106.42741650000001</v>
      </c>
      <c r="Q81" s="8"/>
      <c r="R81" s="46"/>
      <c r="S81" s="8"/>
      <c r="T81" s="8"/>
      <c r="U81" s="8"/>
      <c r="V81" s="46">
        <v>197.85213157999999</v>
      </c>
      <c r="W81" s="8">
        <v>86.741501170000006</v>
      </c>
      <c r="X81" s="8">
        <v>98.512749200000002</v>
      </c>
      <c r="Y81" s="46"/>
      <c r="Z81" s="8"/>
      <c r="AA81" s="8">
        <v>72.156662350000005</v>
      </c>
      <c r="AB81" s="46" t="s">
        <v>298</v>
      </c>
    </row>
    <row r="82" spans="11:28" ht="15" customHeight="1" thickBot="1" x14ac:dyDescent="0.25">
      <c r="K82" s="136">
        <v>77</v>
      </c>
      <c r="L82" s="8"/>
      <c r="M82" s="46"/>
      <c r="N82" s="8">
        <v>118.70720391</v>
      </c>
      <c r="O82" s="46">
        <v>71.895956850000005</v>
      </c>
      <c r="P82" s="46">
        <v>106.24533407</v>
      </c>
      <c r="Q82" s="8"/>
      <c r="R82" s="46"/>
      <c r="S82" s="8"/>
      <c r="T82" s="8"/>
      <c r="U82" s="8"/>
      <c r="V82" s="46">
        <v>195.93277180999999</v>
      </c>
      <c r="W82" s="8">
        <v>85.837103089999999</v>
      </c>
      <c r="X82" s="8">
        <v>97.367197959999999</v>
      </c>
      <c r="Y82" s="46"/>
      <c r="Z82" s="8"/>
      <c r="AA82" s="8">
        <v>71.895956850000005</v>
      </c>
      <c r="AB82" s="46" t="s">
        <v>298</v>
      </c>
    </row>
    <row r="83" spans="11:28" ht="15" customHeight="1" thickBot="1" x14ac:dyDescent="0.25">
      <c r="K83" s="136">
        <v>78</v>
      </c>
      <c r="L83" s="8"/>
      <c r="M83" s="46"/>
      <c r="N83" s="8">
        <v>118.19085314</v>
      </c>
      <c r="O83" s="46">
        <v>71.641935239999995</v>
      </c>
      <c r="P83" s="46">
        <v>106.06791982</v>
      </c>
      <c r="Q83" s="8"/>
      <c r="R83" s="46"/>
      <c r="S83" s="8"/>
      <c r="T83" s="8"/>
      <c r="U83" s="8"/>
      <c r="V83" s="46">
        <v>194.06262006</v>
      </c>
      <c r="W83" s="8">
        <v>84.955891719999997</v>
      </c>
      <c r="X83" s="8">
        <v>96.251016059999998</v>
      </c>
      <c r="Y83" s="46"/>
      <c r="Z83" s="8"/>
      <c r="AA83" s="8">
        <v>71.641935239999995</v>
      </c>
      <c r="AB83" s="46" t="s">
        <v>298</v>
      </c>
    </row>
    <row r="84" spans="11:28" ht="15" customHeight="1" thickBot="1" x14ac:dyDescent="0.25">
      <c r="K84" s="136">
        <v>79</v>
      </c>
      <c r="L84" s="8"/>
      <c r="M84" s="46"/>
      <c r="N84" s="8">
        <v>117.68757288</v>
      </c>
      <c r="O84" s="46">
        <v>71.394343750000004</v>
      </c>
      <c r="P84" s="46">
        <v>105.8949965</v>
      </c>
      <c r="Q84" s="8"/>
      <c r="R84" s="46"/>
      <c r="S84" s="8"/>
      <c r="T84" s="8"/>
      <c r="U84" s="8"/>
      <c r="V84" s="46">
        <v>192.23980796999999</v>
      </c>
      <c r="W84" s="8">
        <v>84.096986689999994</v>
      </c>
      <c r="X84" s="8">
        <v>95.163088349999995</v>
      </c>
      <c r="Y84" s="46"/>
      <c r="Z84" s="8"/>
      <c r="AA84" s="8">
        <v>71.394343750000004</v>
      </c>
      <c r="AB84" s="46" t="s">
        <v>298</v>
      </c>
    </row>
    <row r="85" spans="11:28" ht="15" customHeight="1" thickBot="1" x14ac:dyDescent="0.25">
      <c r="K85" s="136">
        <v>80</v>
      </c>
      <c r="L85" s="8"/>
      <c r="M85" s="46"/>
      <c r="N85" s="8">
        <v>117.19687304999999</v>
      </c>
      <c r="O85" s="46">
        <v>71.152941260000006</v>
      </c>
      <c r="P85" s="46">
        <v>105.72639572</v>
      </c>
      <c r="Q85" s="8"/>
      <c r="R85" s="46"/>
      <c r="S85" s="8"/>
      <c r="T85" s="8"/>
      <c r="U85" s="8"/>
      <c r="V85" s="46">
        <v>190.46256045000001</v>
      </c>
      <c r="W85" s="8">
        <v>83.259551590000001</v>
      </c>
      <c r="X85" s="8">
        <v>94.102355430000003</v>
      </c>
      <c r="Y85" s="46"/>
      <c r="Z85" s="8"/>
      <c r="AA85" s="8">
        <v>71.152941260000006</v>
      </c>
      <c r="AB85" s="46" t="s">
        <v>298</v>
      </c>
    </row>
    <row r="86" spans="11:28" ht="15" customHeight="1" thickBot="1" x14ac:dyDescent="0.25">
      <c r="K86" s="136">
        <v>81</v>
      </c>
      <c r="L86" s="8"/>
      <c r="M86" s="46"/>
      <c r="N86" s="8">
        <v>116.71828777</v>
      </c>
      <c r="O86" s="46">
        <v>70.917498600000002</v>
      </c>
      <c r="P86" s="46">
        <v>105.56195741000001</v>
      </c>
      <c r="Q86" s="8"/>
      <c r="R86" s="46"/>
      <c r="S86" s="8"/>
      <c r="T86" s="8"/>
      <c r="U86" s="8"/>
      <c r="V86" s="46">
        <v>188.72919017999999</v>
      </c>
      <c r="W86" s="8">
        <v>82.442791360000001</v>
      </c>
      <c r="X86" s="8">
        <v>93.067810219999998</v>
      </c>
      <c r="Y86" s="46"/>
      <c r="Z86" s="8"/>
      <c r="AA86" s="8">
        <v>70.917498600000002</v>
      </c>
      <c r="AB86" s="46" t="s">
        <v>298</v>
      </c>
    </row>
    <row r="87" spans="11:28" ht="15" customHeight="1" thickBot="1" x14ac:dyDescent="0.25">
      <c r="K87" s="136">
        <v>82</v>
      </c>
      <c r="L87" s="8"/>
      <c r="M87" s="46"/>
      <c r="N87" s="8">
        <v>116.25137389</v>
      </c>
      <c r="O87" s="46">
        <v>70.687797739999993</v>
      </c>
      <c r="P87" s="46">
        <v>105.40152930000001</v>
      </c>
      <c r="Q87" s="8"/>
      <c r="R87" s="46"/>
      <c r="S87" s="8"/>
      <c r="T87" s="8"/>
      <c r="U87" s="8"/>
      <c r="V87" s="46">
        <v>187.03809208000001</v>
      </c>
      <c r="W87" s="8">
        <v>81.645949669999993</v>
      </c>
      <c r="X87" s="8">
        <v>92.05849474</v>
      </c>
      <c r="Y87" s="46"/>
      <c r="Z87" s="8"/>
      <c r="AA87" s="8">
        <v>70.687797739999993</v>
      </c>
      <c r="AB87" s="46" t="s">
        <v>298</v>
      </c>
    </row>
    <row r="88" spans="11:28" ht="15" customHeight="1" thickBot="1" x14ac:dyDescent="0.25">
      <c r="K88" s="136">
        <v>83</v>
      </c>
      <c r="L88" s="8"/>
      <c r="M88" s="46"/>
      <c r="N88" s="8">
        <v>115.79570957999999</v>
      </c>
      <c r="O88" s="46">
        <v>70.463631179999993</v>
      </c>
      <c r="P88" s="46">
        <v>105.24496646</v>
      </c>
      <c r="Q88" s="8"/>
      <c r="R88" s="46"/>
      <c r="S88" s="8"/>
      <c r="T88" s="8"/>
      <c r="U88" s="8"/>
      <c r="V88" s="46">
        <v>185.38773842000001</v>
      </c>
      <c r="W88" s="8">
        <v>80.868306680000003</v>
      </c>
      <c r="X88" s="8">
        <v>91.073497189999998</v>
      </c>
      <c r="Y88" s="46"/>
      <c r="Z88" s="8"/>
      <c r="AA88" s="8">
        <v>70.463631179999993</v>
      </c>
      <c r="AB88" s="46" t="s">
        <v>298</v>
      </c>
    </row>
    <row r="89" spans="11:28" ht="15" customHeight="1" thickBot="1" x14ac:dyDescent="0.25">
      <c r="K89" s="136">
        <v>84</v>
      </c>
      <c r="L89" s="8"/>
      <c r="M89" s="46"/>
      <c r="N89" s="8"/>
      <c r="O89" s="46"/>
      <c r="P89" s="46"/>
      <c r="Q89" s="8"/>
      <c r="R89" s="46"/>
      <c r="S89" s="8"/>
      <c r="T89" s="8"/>
      <c r="U89" s="8"/>
      <c r="V89" s="46"/>
      <c r="W89" s="8"/>
      <c r="X89" s="8"/>
      <c r="Y89" s="46"/>
      <c r="Z89" s="8"/>
      <c r="AA89" s="8">
        <v>0</v>
      </c>
      <c r="AB89" s="46">
        <v>0</v>
      </c>
    </row>
    <row r="90" spans="11:28" ht="15" customHeight="1" thickBot="1" x14ac:dyDescent="0.25">
      <c r="K90" s="136">
        <v>85</v>
      </c>
      <c r="L90" s="8"/>
      <c r="M90" s="46"/>
      <c r="N90" s="8"/>
      <c r="O90" s="46"/>
      <c r="P90" s="46"/>
      <c r="Q90" s="8"/>
      <c r="R90" s="46"/>
      <c r="S90" s="8"/>
      <c r="T90" s="8"/>
      <c r="U90" s="8"/>
      <c r="V90" s="46"/>
      <c r="W90" s="8"/>
      <c r="X90" s="8"/>
      <c r="Y90" s="46"/>
      <c r="Z90" s="8"/>
      <c r="AA90" s="8">
        <v>0</v>
      </c>
      <c r="AB90" s="46">
        <v>0</v>
      </c>
    </row>
    <row r="91" spans="11:28" ht="15" customHeight="1" thickBot="1" x14ac:dyDescent="0.25">
      <c r="K91" s="136">
        <v>86</v>
      </c>
      <c r="L91" s="8"/>
      <c r="M91" s="46"/>
      <c r="N91" s="8"/>
      <c r="O91" s="46"/>
      <c r="P91" s="46"/>
      <c r="Q91" s="8"/>
      <c r="R91" s="46"/>
      <c r="S91" s="8"/>
      <c r="T91" s="8"/>
      <c r="U91" s="8"/>
      <c r="V91" s="46"/>
      <c r="W91" s="8"/>
      <c r="X91" s="8"/>
      <c r="Y91" s="46"/>
      <c r="Z91" s="8"/>
      <c r="AA91" s="8"/>
      <c r="AB91" s="46"/>
    </row>
    <row r="92" spans="11:28" ht="15" customHeight="1" thickBot="1" x14ac:dyDescent="0.25">
      <c r="K92" s="136">
        <v>87</v>
      </c>
      <c r="L92" s="8"/>
      <c r="M92" s="46"/>
      <c r="N92" s="8"/>
      <c r="O92" s="46"/>
      <c r="P92" s="46"/>
      <c r="Q92" s="8"/>
      <c r="R92" s="46"/>
      <c r="S92" s="8"/>
      <c r="T92" s="8"/>
      <c r="U92" s="8"/>
      <c r="V92" s="46"/>
      <c r="W92" s="8"/>
      <c r="X92" s="8"/>
      <c r="Y92" s="46"/>
      <c r="Z92" s="8"/>
      <c r="AA92" s="8"/>
      <c r="AB92" s="46"/>
    </row>
    <row r="93" spans="11:28" ht="15" customHeight="1" thickBot="1" x14ac:dyDescent="0.25">
      <c r="K93" s="136">
        <v>88</v>
      </c>
      <c r="L93" s="8"/>
      <c r="M93" s="46"/>
      <c r="N93" s="8"/>
      <c r="O93" s="46"/>
      <c r="P93" s="46"/>
      <c r="Q93" s="8"/>
      <c r="R93" s="46"/>
      <c r="S93" s="8"/>
      <c r="T93" s="8"/>
      <c r="U93" s="8"/>
      <c r="V93" s="46"/>
      <c r="W93" s="8"/>
      <c r="X93" s="8"/>
      <c r="Y93" s="46"/>
      <c r="Z93" s="8"/>
      <c r="AA93" s="8"/>
      <c r="AB93" s="46"/>
    </row>
    <row r="94" spans="11:28" ht="15" customHeight="1" thickBot="1" x14ac:dyDescent="0.25">
      <c r="K94" s="136">
        <v>89</v>
      </c>
      <c r="L94" s="8"/>
      <c r="M94" s="46"/>
      <c r="N94" s="8"/>
      <c r="O94" s="46"/>
      <c r="P94" s="46"/>
      <c r="Q94" s="8"/>
      <c r="R94" s="46"/>
      <c r="S94" s="8"/>
      <c r="T94" s="8"/>
      <c r="U94" s="8"/>
      <c r="V94" s="46"/>
      <c r="W94" s="8"/>
      <c r="X94" s="8"/>
      <c r="Y94" s="46"/>
      <c r="Z94" s="8"/>
      <c r="AA94" s="8"/>
      <c r="AB94" s="46"/>
    </row>
    <row r="95" spans="11:28" ht="15" customHeight="1" thickBot="1" x14ac:dyDescent="0.25">
      <c r="K95" s="136">
        <v>90</v>
      </c>
      <c r="L95" s="8"/>
      <c r="M95" s="46"/>
      <c r="N95" s="8"/>
      <c r="O95" s="46"/>
      <c r="P95" s="46"/>
      <c r="Q95" s="8"/>
      <c r="R95" s="46"/>
      <c r="S95" s="8"/>
      <c r="T95" s="8"/>
      <c r="U95" s="8"/>
      <c r="V95" s="46"/>
      <c r="W95" s="8"/>
      <c r="X95" s="8"/>
      <c r="Y95" s="46"/>
      <c r="Z95" s="8"/>
      <c r="AA95" s="8"/>
      <c r="AB95" s="46"/>
    </row>
  </sheetData>
  <hyperlinks>
    <hyperlink ref="A1" location="Index!A1" display="Back to Index tab"/>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
  <sheetViews>
    <sheetView showGridLines="0" zoomScaleNormal="100" workbookViewId="0">
      <selection activeCell="K3" sqref="K3"/>
    </sheetView>
  </sheetViews>
  <sheetFormatPr defaultRowHeight="15" customHeight="1" x14ac:dyDescent="0.2"/>
  <cols>
    <col min="1" max="10" width="9" style="5"/>
    <col min="11" max="11" width="43.25" style="5" bestFit="1" customWidth="1"/>
    <col min="12" max="12" width="19.375" style="5" bestFit="1" customWidth="1"/>
    <col min="13" max="13" width="17.5" style="5" bestFit="1" customWidth="1"/>
    <col min="14" max="16384" width="9" style="5"/>
  </cols>
  <sheetData>
    <row r="1" spans="1:14" ht="15" customHeight="1" x14ac:dyDescent="0.2">
      <c r="A1" s="101" t="s">
        <v>487</v>
      </c>
    </row>
    <row r="3" spans="1:14" s="106" customFormat="1" ht="15" customHeight="1" x14ac:dyDescent="0.2">
      <c r="A3" s="1" t="s">
        <v>431</v>
      </c>
      <c r="J3" s="1"/>
      <c r="K3" s="1" t="s">
        <v>485</v>
      </c>
      <c r="L3" s="103"/>
      <c r="M3" s="103"/>
      <c r="N3" s="103"/>
    </row>
    <row r="4" spans="1:14" ht="15" customHeight="1" thickBot="1" x14ac:dyDescent="0.25">
      <c r="A4" s="104"/>
      <c r="B4" s="104"/>
      <c r="C4" s="104"/>
      <c r="D4" s="104"/>
      <c r="E4" s="104"/>
      <c r="F4" s="104"/>
      <c r="G4" s="104"/>
      <c r="H4" s="104"/>
      <c r="I4" s="104"/>
      <c r="K4" s="34" t="s">
        <v>317</v>
      </c>
      <c r="L4" s="34" t="s">
        <v>249</v>
      </c>
      <c r="M4" s="34" t="s">
        <v>250</v>
      </c>
    </row>
    <row r="5" spans="1:14" ht="15" customHeight="1" thickBot="1" x14ac:dyDescent="0.25">
      <c r="A5" s="104"/>
      <c r="B5" s="104"/>
      <c r="C5" s="104"/>
      <c r="D5" s="104"/>
      <c r="E5" s="104"/>
      <c r="F5" s="104"/>
      <c r="G5" s="104"/>
      <c r="H5" s="104"/>
      <c r="I5" s="104"/>
      <c r="K5" s="32" t="s">
        <v>319</v>
      </c>
      <c r="L5" s="15">
        <v>0</v>
      </c>
      <c r="M5" s="15">
        <v>85.151951902293504</v>
      </c>
    </row>
    <row r="6" spans="1:14" ht="15" customHeight="1" thickBot="1" x14ac:dyDescent="0.25">
      <c r="A6" s="104"/>
      <c r="B6" s="104"/>
      <c r="C6" s="104"/>
      <c r="D6" s="104"/>
      <c r="E6" s="104"/>
      <c r="F6" s="104"/>
      <c r="G6" s="104"/>
      <c r="H6" s="104"/>
      <c r="I6" s="104"/>
      <c r="K6" s="32" t="s">
        <v>318</v>
      </c>
      <c r="L6" s="22">
        <v>22.99</v>
      </c>
      <c r="M6" s="22">
        <v>120.468193902575</v>
      </c>
    </row>
    <row r="7" spans="1:14" ht="15" customHeight="1" thickBot="1" x14ac:dyDescent="0.25">
      <c r="A7" s="104"/>
      <c r="B7" s="104"/>
      <c r="C7" s="104"/>
      <c r="D7" s="104"/>
      <c r="E7" s="104"/>
      <c r="F7" s="104"/>
      <c r="G7" s="104"/>
      <c r="H7" s="104"/>
      <c r="I7" s="104"/>
      <c r="K7" s="32" t="s">
        <v>320</v>
      </c>
      <c r="L7" s="15">
        <v>0</v>
      </c>
      <c r="M7" s="15">
        <v>97.861298216647</v>
      </c>
    </row>
    <row r="8" spans="1:14" ht="15" customHeight="1" thickBot="1" x14ac:dyDescent="0.25">
      <c r="A8" s="104"/>
      <c r="B8" s="104"/>
      <c r="C8" s="104"/>
      <c r="D8" s="104"/>
      <c r="E8" s="104"/>
      <c r="F8" s="104"/>
      <c r="G8" s="104"/>
      <c r="H8" s="104"/>
      <c r="I8" s="104"/>
      <c r="K8" s="32" t="s">
        <v>321</v>
      </c>
      <c r="L8" s="22">
        <v>0</v>
      </c>
      <c r="M8" s="22">
        <v>96.246939380021104</v>
      </c>
    </row>
    <row r="9" spans="1:14" ht="15" customHeight="1" thickBot="1" x14ac:dyDescent="0.25">
      <c r="A9" s="104"/>
      <c r="B9" s="104"/>
      <c r="C9" s="104"/>
      <c r="D9" s="104"/>
      <c r="E9" s="104"/>
      <c r="F9" s="104"/>
      <c r="G9" s="104"/>
      <c r="H9" s="104"/>
      <c r="I9" s="104"/>
      <c r="K9" s="32" t="s">
        <v>322</v>
      </c>
      <c r="L9" s="15">
        <v>0</v>
      </c>
      <c r="M9" s="15">
        <v>89.529143127233397</v>
      </c>
    </row>
    <row r="10" spans="1:14" ht="15" customHeight="1" thickBot="1" x14ac:dyDescent="0.25">
      <c r="A10" s="104"/>
      <c r="B10" s="104"/>
      <c r="C10" s="104"/>
      <c r="D10" s="104"/>
      <c r="E10" s="104"/>
      <c r="F10" s="104"/>
      <c r="G10" s="104"/>
      <c r="H10" s="104"/>
      <c r="I10" s="104"/>
      <c r="K10" s="32" t="s">
        <v>476</v>
      </c>
      <c r="L10" s="15">
        <v>0</v>
      </c>
      <c r="M10" s="15">
        <v>136.635461610731</v>
      </c>
    </row>
    <row r="11" spans="1:14" ht="15" customHeight="1" thickBot="1" x14ac:dyDescent="0.25">
      <c r="A11" s="104"/>
      <c r="B11" s="104"/>
      <c r="C11" s="104"/>
      <c r="D11" s="104"/>
      <c r="E11" s="104"/>
      <c r="F11" s="104"/>
      <c r="G11" s="104"/>
      <c r="H11" s="104"/>
      <c r="I11" s="104"/>
      <c r="K11" s="32" t="s">
        <v>323</v>
      </c>
      <c r="L11" s="15">
        <v>0</v>
      </c>
      <c r="M11" s="15">
        <v>170.849826877015</v>
      </c>
    </row>
    <row r="12" spans="1:14" ht="15" customHeight="1" thickBot="1" x14ac:dyDescent="0.25">
      <c r="A12" s="104"/>
      <c r="B12" s="104"/>
      <c r="C12" s="104"/>
      <c r="D12" s="104"/>
      <c r="E12" s="104"/>
      <c r="F12" s="104"/>
      <c r="G12" s="104"/>
      <c r="H12" s="104"/>
      <c r="I12" s="104"/>
      <c r="K12" s="32" t="s">
        <v>474</v>
      </c>
      <c r="L12" s="15">
        <v>469.63</v>
      </c>
      <c r="M12" s="15">
        <v>82.819462128771704</v>
      </c>
    </row>
    <row r="13" spans="1:14" ht="15" customHeight="1" thickBot="1" x14ac:dyDescent="0.25">
      <c r="A13" s="104"/>
      <c r="B13" s="104"/>
      <c r="C13" s="104"/>
      <c r="D13" s="104"/>
      <c r="E13" s="104"/>
      <c r="F13" s="104"/>
      <c r="G13" s="104"/>
      <c r="H13" s="104"/>
      <c r="I13" s="104"/>
      <c r="K13" s="32" t="s">
        <v>477</v>
      </c>
      <c r="L13" s="22">
        <v>687.75</v>
      </c>
      <c r="M13" s="22">
        <v>217.91669517328401</v>
      </c>
    </row>
    <row r="14" spans="1:14" ht="15" customHeight="1" thickBot="1" x14ac:dyDescent="0.25">
      <c r="A14" s="104"/>
      <c r="B14" s="104"/>
      <c r="C14" s="104"/>
      <c r="D14" s="104"/>
      <c r="E14" s="104"/>
      <c r="F14" s="104"/>
      <c r="G14" s="104"/>
      <c r="H14" s="104"/>
      <c r="I14" s="104"/>
      <c r="K14" s="32" t="s">
        <v>475</v>
      </c>
      <c r="L14" s="15">
        <v>150.23202159375001</v>
      </c>
      <c r="M14" s="15">
        <v>117.504936509636</v>
      </c>
    </row>
    <row r="15" spans="1:14" ht="15" customHeight="1" x14ac:dyDescent="0.2">
      <c r="A15" s="104"/>
      <c r="B15" s="104"/>
      <c r="C15" s="104"/>
      <c r="D15" s="104"/>
      <c r="E15" s="104"/>
      <c r="F15" s="104"/>
      <c r="G15" s="104"/>
      <c r="H15" s="104"/>
      <c r="I15" s="104"/>
    </row>
    <row r="16" spans="1:14" ht="15" customHeight="1" x14ac:dyDescent="0.2">
      <c r="A16" s="104"/>
      <c r="B16" s="104"/>
      <c r="C16" s="104"/>
      <c r="D16" s="104"/>
      <c r="E16" s="104"/>
      <c r="F16" s="104"/>
      <c r="G16" s="104"/>
      <c r="H16" s="104"/>
      <c r="I16" s="104"/>
    </row>
    <row r="17" spans="1:24" ht="15" customHeight="1" x14ac:dyDescent="0.2">
      <c r="A17" s="104"/>
      <c r="B17" s="104"/>
      <c r="C17" s="104"/>
      <c r="D17" s="104"/>
      <c r="E17" s="104"/>
      <c r="F17" s="104"/>
      <c r="G17" s="104"/>
      <c r="H17" s="104"/>
      <c r="I17" s="104"/>
    </row>
    <row r="18" spans="1:24" ht="15" customHeight="1" x14ac:dyDescent="0.2">
      <c r="A18" s="104"/>
      <c r="B18" s="104"/>
      <c r="C18" s="104"/>
      <c r="D18" s="104"/>
      <c r="E18" s="104"/>
      <c r="F18" s="104"/>
      <c r="G18" s="104"/>
      <c r="H18" s="104"/>
      <c r="I18" s="104"/>
    </row>
    <row r="19" spans="1:24" ht="15" customHeight="1" x14ac:dyDescent="0.2">
      <c r="A19" s="104"/>
      <c r="B19" s="104"/>
      <c r="C19" s="104"/>
      <c r="D19" s="104"/>
      <c r="E19" s="104"/>
      <c r="F19" s="104"/>
      <c r="G19" s="104"/>
      <c r="H19" s="104"/>
      <c r="I19" s="104"/>
    </row>
    <row r="20" spans="1:24" ht="15" customHeight="1" x14ac:dyDescent="0.2">
      <c r="A20" s="104"/>
      <c r="B20" s="104"/>
      <c r="C20" s="104"/>
      <c r="D20" s="104"/>
      <c r="E20" s="104"/>
      <c r="F20" s="104"/>
      <c r="G20" s="104"/>
      <c r="H20" s="104"/>
      <c r="I20" s="104"/>
    </row>
    <row r="21" spans="1:24" ht="15" customHeight="1" x14ac:dyDescent="0.2">
      <c r="A21" s="104"/>
      <c r="B21" s="104"/>
      <c r="C21" s="104"/>
      <c r="D21" s="104"/>
      <c r="E21" s="104"/>
      <c r="F21" s="104"/>
      <c r="G21" s="104"/>
      <c r="H21" s="104"/>
      <c r="I21" s="104"/>
    </row>
    <row r="22" spans="1:24" ht="15" customHeight="1" x14ac:dyDescent="0.2">
      <c r="A22" s="104"/>
      <c r="B22" s="104"/>
      <c r="C22" s="104"/>
      <c r="D22" s="104"/>
      <c r="E22" s="104"/>
      <c r="F22" s="104"/>
      <c r="G22" s="104"/>
      <c r="H22" s="104"/>
      <c r="I22" s="104"/>
    </row>
    <row r="23" spans="1:24" ht="15" customHeight="1" x14ac:dyDescent="0.2">
      <c r="J23" s="107"/>
      <c r="O23" s="108"/>
      <c r="P23" s="108"/>
      <c r="Q23" s="108"/>
      <c r="R23" s="108"/>
      <c r="S23" s="108"/>
      <c r="T23" s="108"/>
      <c r="U23" s="108"/>
      <c r="V23" s="108"/>
      <c r="W23" s="108"/>
      <c r="X23" s="108"/>
    </row>
    <row r="24" spans="1:24" ht="15" customHeight="1" x14ac:dyDescent="0.2">
      <c r="O24" s="108"/>
      <c r="P24" s="108"/>
      <c r="Q24" s="108"/>
      <c r="R24" s="108"/>
      <c r="S24" s="108"/>
      <c r="T24" s="108"/>
      <c r="U24" s="108"/>
      <c r="V24" s="108"/>
      <c r="W24" s="108"/>
      <c r="X24" s="108"/>
    </row>
    <row r="25" spans="1:24" ht="15" customHeight="1" x14ac:dyDescent="0.2">
      <c r="O25" s="108"/>
      <c r="P25" s="108"/>
      <c r="Q25" s="108"/>
      <c r="R25" s="108"/>
      <c r="S25" s="108"/>
      <c r="T25" s="108"/>
      <c r="U25" s="108"/>
      <c r="V25" s="108"/>
      <c r="W25" s="108"/>
      <c r="X25" s="108"/>
    </row>
    <row r="26" spans="1:24" ht="15" customHeight="1" x14ac:dyDescent="0.2">
      <c r="O26" s="108"/>
      <c r="P26" s="108"/>
      <c r="Q26" s="108"/>
      <c r="R26" s="108"/>
      <c r="S26" s="108"/>
      <c r="T26" s="108"/>
      <c r="U26" s="108"/>
      <c r="V26" s="108"/>
      <c r="W26" s="108"/>
      <c r="X26" s="108"/>
    </row>
    <row r="27" spans="1:24" ht="15" customHeight="1" x14ac:dyDescent="0.2">
      <c r="O27" s="108"/>
      <c r="P27" s="108"/>
      <c r="Q27" s="108"/>
      <c r="R27" s="108"/>
      <c r="S27" s="108"/>
      <c r="T27" s="108"/>
      <c r="U27" s="108"/>
      <c r="V27" s="108"/>
      <c r="W27" s="108"/>
      <c r="X27" s="108"/>
    </row>
  </sheetData>
  <hyperlinks>
    <hyperlink ref="A1" location="Index!A1" display="Back to Index tab"/>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zoomScaleNormal="100" workbookViewId="0"/>
  </sheetViews>
  <sheetFormatPr defaultRowHeight="15" customHeight="1" x14ac:dyDescent="0.2"/>
  <cols>
    <col min="1" max="10" width="9" style="5"/>
    <col min="11" max="11" width="43.25" style="5" bestFit="1" customWidth="1"/>
    <col min="12" max="12" width="19.375" style="5" bestFit="1" customWidth="1"/>
    <col min="13" max="13" width="17.5" style="5" bestFit="1" customWidth="1"/>
    <col min="14" max="16384" width="9" style="5"/>
  </cols>
  <sheetData>
    <row r="1" spans="1:13" ht="15" customHeight="1" x14ac:dyDescent="0.2">
      <c r="A1" s="101" t="s">
        <v>487</v>
      </c>
    </row>
    <row r="3" spans="1:13" s="103" customFormat="1" ht="15" customHeight="1" x14ac:dyDescent="0.2">
      <c r="A3" s="1" t="s">
        <v>432</v>
      </c>
      <c r="K3" s="1" t="s">
        <v>486</v>
      </c>
    </row>
    <row r="4" spans="1:13" ht="15" customHeight="1" thickBot="1" x14ac:dyDescent="0.25">
      <c r="A4" s="104"/>
      <c r="B4" s="104"/>
      <c r="C4" s="104"/>
      <c r="D4" s="104"/>
      <c r="E4" s="104"/>
      <c r="F4" s="104"/>
      <c r="G4" s="104"/>
      <c r="H4" s="104"/>
      <c r="I4" s="104"/>
      <c r="K4" s="34" t="s">
        <v>317</v>
      </c>
      <c r="L4" s="34" t="s">
        <v>249</v>
      </c>
      <c r="M4" s="34" t="s">
        <v>250</v>
      </c>
    </row>
    <row r="5" spans="1:13" ht="15" customHeight="1" thickBot="1" x14ac:dyDescent="0.25">
      <c r="A5" s="104"/>
      <c r="B5" s="104"/>
      <c r="C5" s="104"/>
      <c r="D5" s="104"/>
      <c r="E5" s="104"/>
      <c r="F5" s="104"/>
      <c r="G5" s="104"/>
      <c r="H5" s="104"/>
      <c r="I5" s="104"/>
      <c r="K5" s="32" t="s">
        <v>319</v>
      </c>
      <c r="L5" s="15">
        <v>0</v>
      </c>
      <c r="M5" s="15">
        <v>84.583704704232602</v>
      </c>
    </row>
    <row r="6" spans="1:13" ht="15" customHeight="1" thickBot="1" x14ac:dyDescent="0.25">
      <c r="A6" s="104"/>
      <c r="B6" s="104"/>
      <c r="C6" s="104"/>
      <c r="D6" s="104"/>
      <c r="E6" s="104"/>
      <c r="F6" s="104"/>
      <c r="G6" s="104"/>
      <c r="H6" s="104"/>
      <c r="I6" s="104"/>
      <c r="K6" s="32" t="s">
        <v>318</v>
      </c>
      <c r="L6" s="22">
        <v>22.99</v>
      </c>
      <c r="M6" s="22">
        <v>118.427421916033</v>
      </c>
    </row>
    <row r="7" spans="1:13" ht="15" customHeight="1" thickBot="1" x14ac:dyDescent="0.25">
      <c r="A7" s="104"/>
      <c r="B7" s="104"/>
      <c r="C7" s="104"/>
      <c r="D7" s="104"/>
      <c r="E7" s="104"/>
      <c r="F7" s="104"/>
      <c r="G7" s="104"/>
      <c r="H7" s="104"/>
      <c r="I7" s="104"/>
      <c r="K7" s="32" t="s">
        <v>320</v>
      </c>
      <c r="L7" s="15">
        <v>0</v>
      </c>
      <c r="M7" s="15">
        <v>97.580743215918005</v>
      </c>
    </row>
    <row r="8" spans="1:13" ht="15" customHeight="1" thickBot="1" x14ac:dyDescent="0.25">
      <c r="A8" s="104"/>
      <c r="B8" s="104"/>
      <c r="C8" s="104"/>
      <c r="D8" s="104"/>
      <c r="E8" s="104"/>
      <c r="F8" s="104"/>
      <c r="G8" s="104"/>
      <c r="H8" s="104"/>
      <c r="I8" s="104"/>
      <c r="K8" s="32" t="s">
        <v>321</v>
      </c>
      <c r="L8" s="22">
        <v>0</v>
      </c>
      <c r="M8" s="22">
        <v>95.838917318415497</v>
      </c>
    </row>
    <row r="9" spans="1:13" ht="15" customHeight="1" thickBot="1" x14ac:dyDescent="0.25">
      <c r="A9" s="104"/>
      <c r="B9" s="104"/>
      <c r="C9" s="104"/>
      <c r="D9" s="104"/>
      <c r="E9" s="104"/>
      <c r="F9" s="104"/>
      <c r="G9" s="104"/>
      <c r="H9" s="104"/>
      <c r="I9" s="104"/>
      <c r="K9" s="32" t="s">
        <v>322</v>
      </c>
      <c r="L9" s="15">
        <v>0</v>
      </c>
      <c r="M9" s="15">
        <v>89.208523149605696</v>
      </c>
    </row>
    <row r="10" spans="1:13" ht="15" customHeight="1" thickBot="1" x14ac:dyDescent="0.25">
      <c r="A10" s="104"/>
      <c r="B10" s="104"/>
      <c r="C10" s="104"/>
      <c r="D10" s="104"/>
      <c r="E10" s="104"/>
      <c r="F10" s="104"/>
      <c r="G10" s="104"/>
      <c r="H10" s="104"/>
      <c r="I10" s="104"/>
      <c r="K10" s="32" t="s">
        <v>476</v>
      </c>
      <c r="L10" s="15">
        <v>0</v>
      </c>
      <c r="M10" s="15">
        <v>136.635461610731</v>
      </c>
    </row>
    <row r="11" spans="1:13" ht="15" customHeight="1" thickBot="1" x14ac:dyDescent="0.25">
      <c r="A11" s="104"/>
      <c r="B11" s="104"/>
      <c r="C11" s="104"/>
      <c r="D11" s="104"/>
      <c r="E11" s="104"/>
      <c r="F11" s="104"/>
      <c r="G11" s="104"/>
      <c r="H11" s="104"/>
      <c r="I11" s="104"/>
      <c r="K11" s="32" t="s">
        <v>477</v>
      </c>
      <c r="L11" s="22">
        <v>582.34</v>
      </c>
      <c r="M11" s="22">
        <v>198.37035969884599</v>
      </c>
    </row>
    <row r="12" spans="1:13" ht="15" customHeight="1" thickBot="1" x14ac:dyDescent="0.25">
      <c r="A12" s="104"/>
      <c r="B12" s="104"/>
      <c r="C12" s="104"/>
      <c r="D12" s="104"/>
      <c r="E12" s="104"/>
      <c r="F12" s="104"/>
      <c r="G12" s="104"/>
      <c r="H12" s="104"/>
      <c r="I12" s="104"/>
      <c r="K12" s="32" t="s">
        <v>474</v>
      </c>
      <c r="L12" s="15">
        <v>443.78</v>
      </c>
      <c r="M12" s="15">
        <v>70.463631177936804</v>
      </c>
    </row>
    <row r="13" spans="1:13" ht="15" customHeight="1" thickBot="1" x14ac:dyDescent="0.25">
      <c r="A13" s="104"/>
      <c r="B13" s="104"/>
      <c r="C13" s="104"/>
      <c r="D13" s="104"/>
      <c r="E13" s="104"/>
      <c r="F13" s="104"/>
      <c r="G13" s="104"/>
      <c r="H13" s="104"/>
      <c r="I13" s="104"/>
      <c r="K13" s="32" t="s">
        <v>475</v>
      </c>
      <c r="L13" s="22">
        <v>130.59800000000001</v>
      </c>
      <c r="M13" s="22">
        <v>115.795709577601</v>
      </c>
    </row>
    <row r="14" spans="1:13" ht="15" customHeight="1" thickBot="1" x14ac:dyDescent="0.25">
      <c r="A14" s="104"/>
      <c r="B14" s="104"/>
      <c r="C14" s="104"/>
      <c r="D14" s="104"/>
      <c r="E14" s="104"/>
      <c r="F14" s="104"/>
      <c r="G14" s="104"/>
      <c r="H14" s="104"/>
      <c r="I14" s="104"/>
      <c r="K14" s="32" t="s">
        <v>478</v>
      </c>
      <c r="L14" s="15">
        <v>811.61</v>
      </c>
      <c r="M14" s="15">
        <v>80.868306676555903</v>
      </c>
    </row>
    <row r="15" spans="1:13" ht="15" customHeight="1" thickBot="1" x14ac:dyDescent="0.25">
      <c r="A15" s="104"/>
      <c r="B15" s="104"/>
      <c r="C15" s="104"/>
      <c r="D15" s="104"/>
      <c r="E15" s="104"/>
      <c r="F15" s="104"/>
      <c r="G15" s="104"/>
      <c r="H15" s="104"/>
      <c r="I15" s="104"/>
      <c r="K15" s="32" t="s">
        <v>480</v>
      </c>
      <c r="L15" s="22">
        <v>131.15</v>
      </c>
      <c r="M15" s="22">
        <v>185.38773841946801</v>
      </c>
    </row>
    <row r="16" spans="1:13" ht="15" customHeight="1" thickBot="1" x14ac:dyDescent="0.25">
      <c r="A16" s="104"/>
      <c r="B16" s="104"/>
      <c r="C16" s="104"/>
      <c r="D16" s="104"/>
      <c r="E16" s="104"/>
      <c r="F16" s="104"/>
      <c r="G16" s="104"/>
      <c r="H16" s="104"/>
      <c r="I16" s="104"/>
      <c r="K16" s="32" t="s">
        <v>479</v>
      </c>
      <c r="L16" s="15">
        <v>1193.46</v>
      </c>
      <c r="M16" s="15">
        <v>91.073497187027996</v>
      </c>
    </row>
    <row r="17" spans="1:13" ht="15" customHeight="1" thickBot="1" x14ac:dyDescent="0.25">
      <c r="A17" s="104"/>
      <c r="B17" s="104"/>
      <c r="C17" s="104"/>
      <c r="D17" s="104"/>
      <c r="E17" s="104"/>
      <c r="F17" s="104"/>
      <c r="G17" s="104"/>
      <c r="H17" s="104"/>
      <c r="I17" s="104"/>
      <c r="K17" s="32" t="s">
        <v>481</v>
      </c>
      <c r="L17" s="22">
        <v>169.03200000000001</v>
      </c>
      <c r="M17" s="22">
        <v>198.16779988272299</v>
      </c>
    </row>
    <row r="18" spans="1:13" ht="15" customHeight="1" x14ac:dyDescent="0.2">
      <c r="A18" s="104"/>
      <c r="B18" s="104"/>
      <c r="C18" s="104"/>
      <c r="D18" s="104"/>
      <c r="E18" s="104"/>
      <c r="F18" s="104"/>
      <c r="G18" s="104"/>
      <c r="H18" s="104"/>
      <c r="I18" s="104"/>
    </row>
    <row r="19" spans="1:13" ht="15" customHeight="1" x14ac:dyDescent="0.2">
      <c r="A19" s="104"/>
      <c r="B19" s="104"/>
      <c r="C19" s="104"/>
      <c r="D19" s="104"/>
      <c r="E19" s="104"/>
      <c r="F19" s="104"/>
      <c r="G19" s="104"/>
      <c r="H19" s="104"/>
      <c r="I19" s="104"/>
    </row>
    <row r="20" spans="1:13" ht="15" customHeight="1" x14ac:dyDescent="0.2">
      <c r="A20" s="104"/>
      <c r="B20" s="104"/>
      <c r="C20" s="104"/>
      <c r="D20" s="104"/>
      <c r="E20" s="104"/>
      <c r="F20" s="104"/>
      <c r="G20" s="104"/>
      <c r="H20" s="104"/>
      <c r="I20" s="104"/>
    </row>
    <row r="21" spans="1:13" ht="15" customHeight="1" x14ac:dyDescent="0.2">
      <c r="A21" s="104"/>
      <c r="B21" s="104"/>
      <c r="C21" s="104"/>
      <c r="D21" s="104"/>
      <c r="E21" s="104"/>
      <c r="F21" s="104"/>
      <c r="G21" s="104"/>
      <c r="H21" s="104"/>
      <c r="I21" s="104"/>
      <c r="L21" s="105"/>
      <c r="M21" s="105"/>
    </row>
    <row r="22" spans="1:13" ht="15" customHeight="1" x14ac:dyDescent="0.2">
      <c r="A22" s="104"/>
      <c r="B22" s="104"/>
      <c r="C22" s="104"/>
      <c r="D22" s="104"/>
      <c r="E22" s="104"/>
      <c r="F22" s="104"/>
      <c r="G22" s="104"/>
      <c r="H22" s="104"/>
      <c r="I22" s="104"/>
    </row>
  </sheetData>
  <hyperlinks>
    <hyperlink ref="A1" location="Index!A1" display="Back to Index tab"/>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zoomScaleNormal="100" workbookViewId="0"/>
  </sheetViews>
  <sheetFormatPr defaultRowHeight="15" customHeight="1" x14ac:dyDescent="0.2"/>
  <cols>
    <col min="1" max="1" width="14.375" style="5" customWidth="1"/>
    <col min="2" max="2" width="14.625" style="5" bestFit="1" customWidth="1"/>
    <col min="3" max="3" width="46.25" style="5" customWidth="1"/>
    <col min="4" max="16384" width="9" style="5"/>
  </cols>
  <sheetData>
    <row r="1" spans="1:3" ht="15" customHeight="1" x14ac:dyDescent="0.2">
      <c r="A1" s="101" t="s">
        <v>487</v>
      </c>
    </row>
    <row r="3" spans="1:3" ht="15" customHeight="1" x14ac:dyDescent="0.2">
      <c r="A3" s="1" t="s">
        <v>438</v>
      </c>
      <c r="B3" s="1"/>
      <c r="C3" s="1"/>
    </row>
    <row r="4" spans="1:3" ht="15" customHeight="1" thickBot="1" x14ac:dyDescent="0.25">
      <c r="A4" s="34" t="s">
        <v>32</v>
      </c>
      <c r="B4" s="34" t="s">
        <v>27</v>
      </c>
      <c r="C4" s="34" t="s">
        <v>28</v>
      </c>
    </row>
    <row r="5" spans="1:3" thickBot="1" x14ac:dyDescent="0.25">
      <c r="A5" s="30" t="s">
        <v>12</v>
      </c>
      <c r="B5" s="3" t="s">
        <v>1</v>
      </c>
      <c r="C5" s="3" t="s">
        <v>30</v>
      </c>
    </row>
    <row r="6" spans="1:3" ht="169.5" thickBot="1" x14ac:dyDescent="0.25">
      <c r="A6" s="189" t="s">
        <v>31</v>
      </c>
      <c r="B6" s="4" t="s">
        <v>1</v>
      </c>
      <c r="C6" s="4" t="s">
        <v>495</v>
      </c>
    </row>
    <row r="7" spans="1:3" ht="34.5" thickBot="1" x14ac:dyDescent="0.25">
      <c r="A7" s="190"/>
      <c r="B7" s="3" t="s">
        <v>0</v>
      </c>
      <c r="C7" s="3" t="s">
        <v>441</v>
      </c>
    </row>
    <row r="8" spans="1:3" ht="79.5" thickBot="1" x14ac:dyDescent="0.25">
      <c r="A8" s="190"/>
      <c r="B8" s="4" t="s">
        <v>497</v>
      </c>
      <c r="C8" s="4" t="s">
        <v>442</v>
      </c>
    </row>
    <row r="9" spans="1:3" thickBot="1" x14ac:dyDescent="0.25">
      <c r="A9" s="190"/>
      <c r="B9" s="3" t="s">
        <v>5</v>
      </c>
      <c r="C9" s="3" t="s">
        <v>443</v>
      </c>
    </row>
    <row r="10" spans="1:3" thickBot="1" x14ac:dyDescent="0.25">
      <c r="A10" s="190"/>
      <c r="B10" s="4" t="s">
        <v>347</v>
      </c>
      <c r="C10" s="4" t="s">
        <v>444</v>
      </c>
    </row>
    <row r="11" spans="1:3" ht="23.25" thickBot="1" x14ac:dyDescent="0.25">
      <c r="A11" s="191"/>
      <c r="B11" s="3" t="s">
        <v>269</v>
      </c>
      <c r="C11" s="3" t="s">
        <v>496</v>
      </c>
    </row>
    <row r="12" spans="1:3" ht="68.25" thickBot="1" x14ac:dyDescent="0.25">
      <c r="A12" s="32" t="s">
        <v>498</v>
      </c>
      <c r="B12" s="3" t="s">
        <v>29</v>
      </c>
      <c r="C12" s="3" t="s">
        <v>402</v>
      </c>
    </row>
    <row r="13" spans="1:3" ht="15" customHeight="1" x14ac:dyDescent="0.2">
      <c r="A13" s="156" t="s">
        <v>499</v>
      </c>
    </row>
    <row r="14" spans="1:3" ht="15" customHeight="1" x14ac:dyDescent="0.2">
      <c r="A14" s="156" t="s">
        <v>500</v>
      </c>
    </row>
    <row r="15" spans="1:3" s="158" customFormat="1" ht="15" customHeight="1" x14ac:dyDescent="0.15">
      <c r="A15" s="157" t="s">
        <v>501</v>
      </c>
    </row>
  </sheetData>
  <mergeCells count="1">
    <mergeCell ref="A6:A11"/>
  </mergeCells>
  <hyperlinks>
    <hyperlink ref="A1" location="Index!A1" display="Back to Index tab"/>
    <hyperlink ref="A15" r:id="rId1" display="https://www.aemo.com.au/Electricity/National-Electricity-Market-NEM/Planning-and-forecasting/National-Transmission-Network-Development-Plan"/>
  </hyperlinks>
  <pageMargins left="0.7" right="0.7" top="0.75" bottom="0.75" header="0.3" footer="0.3"/>
  <pageSetup paperSize="9"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4.25" x14ac:dyDescent="0.2"/>
  <cols>
    <col min="1" max="1" width="11.125" style="5" customWidth="1"/>
    <col min="2" max="2" width="8.375" style="5" bestFit="1" customWidth="1"/>
    <col min="3" max="3" width="10" style="5" bestFit="1" customWidth="1"/>
    <col min="4" max="4" width="3.5" style="5" bestFit="1" customWidth="1"/>
    <col min="5" max="5" width="11.375" style="5" bestFit="1" customWidth="1"/>
    <col min="6" max="16384" width="9" style="5"/>
  </cols>
  <sheetData>
    <row r="1" spans="1:5" x14ac:dyDescent="0.2">
      <c r="A1" s="101" t="s">
        <v>487</v>
      </c>
    </row>
    <row r="3" spans="1:5" x14ac:dyDescent="0.2">
      <c r="A3" s="1" t="s">
        <v>502</v>
      </c>
    </row>
    <row r="4" spans="1:5" ht="23.25" thickBot="1" x14ac:dyDescent="0.25">
      <c r="A4" s="192" t="s">
        <v>51</v>
      </c>
      <c r="B4" s="194" t="s">
        <v>52</v>
      </c>
      <c r="C4" s="33" t="s">
        <v>53</v>
      </c>
      <c r="D4" s="196" t="s">
        <v>55</v>
      </c>
      <c r="E4" s="197"/>
    </row>
    <row r="5" spans="1:5" ht="15" thickBot="1" x14ac:dyDescent="0.25">
      <c r="A5" s="193"/>
      <c r="B5" s="195"/>
      <c r="C5" s="34" t="s">
        <v>54</v>
      </c>
      <c r="D5" s="34" t="s">
        <v>54</v>
      </c>
      <c r="E5" s="35" t="s">
        <v>56</v>
      </c>
    </row>
    <row r="6" spans="1:5" ht="15" thickBot="1" x14ac:dyDescent="0.25">
      <c r="A6" s="32">
        <v>2013</v>
      </c>
      <c r="B6" s="92" t="s">
        <v>13</v>
      </c>
      <c r="C6" s="144">
        <v>96.82</v>
      </c>
      <c r="D6" s="145">
        <v>58.33</v>
      </c>
      <c r="E6" s="146">
        <v>0.60250000000000004</v>
      </c>
    </row>
    <row r="7" spans="1:5" ht="15" thickBot="1" x14ac:dyDescent="0.25">
      <c r="A7" s="32">
        <v>2014</v>
      </c>
      <c r="B7" s="92" t="s">
        <v>13</v>
      </c>
      <c r="C7" s="144">
        <v>86.31</v>
      </c>
      <c r="D7" s="145">
        <v>49.04</v>
      </c>
      <c r="E7" s="146">
        <v>0.56820000000000004</v>
      </c>
    </row>
    <row r="8" spans="1:5" ht="15" thickBot="1" x14ac:dyDescent="0.25">
      <c r="A8" s="32">
        <v>2015</v>
      </c>
      <c r="B8" s="92" t="s">
        <v>13</v>
      </c>
      <c r="C8" s="144">
        <v>78.23</v>
      </c>
      <c r="D8" s="145">
        <v>43.16</v>
      </c>
      <c r="E8" s="146">
        <v>0.55169999999999997</v>
      </c>
    </row>
    <row r="9" spans="1:5" x14ac:dyDescent="0.2">
      <c r="A9" s="31">
        <v>2016</v>
      </c>
      <c r="B9" s="94" t="s">
        <v>13</v>
      </c>
      <c r="C9" s="147">
        <v>75.17</v>
      </c>
      <c r="D9" s="148">
        <v>38.56</v>
      </c>
      <c r="E9" s="149">
        <v>0.51300000000000001</v>
      </c>
    </row>
    <row r="10" spans="1:5" x14ac:dyDescent="0.2">
      <c r="A10" s="159" t="s">
        <v>504</v>
      </c>
    </row>
    <row r="11" spans="1:5" x14ac:dyDescent="0.15">
      <c r="A11" s="157" t="s">
        <v>503</v>
      </c>
    </row>
  </sheetData>
  <mergeCells count="3">
    <mergeCell ref="A4:A5"/>
    <mergeCell ref="B4:B5"/>
    <mergeCell ref="D4:E4"/>
  </mergeCells>
  <hyperlinks>
    <hyperlink ref="A1" location="Index!A1" display="Back to Index tab"/>
    <hyperlink ref="A10" r:id="rId1" display="http://forecasting.aemo.com.au/"/>
    <hyperlink ref="A11" r:id="rId2" display="http://forecasting.aemo.com.au/"/>
  </hyperlinks>
  <pageMargins left="0.7" right="0.7" top="0.75" bottom="0.75" header="0.3" footer="0.3"/>
  <pageSetup paperSize="9" orientation="portrait" verticalDpi="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zoomScaleNormal="100" workbookViewId="0"/>
  </sheetViews>
  <sheetFormatPr defaultRowHeight="14.25" x14ac:dyDescent="0.2"/>
  <cols>
    <col min="1" max="1" width="24.75" style="5" customWidth="1"/>
    <col min="2" max="2" width="9.375" style="5" bestFit="1" customWidth="1"/>
    <col min="3" max="3" width="15.375" style="5" bestFit="1" customWidth="1"/>
    <col min="4" max="4" width="22.75" style="5" bestFit="1" customWidth="1"/>
    <col min="5" max="5" width="10" style="5" customWidth="1"/>
    <col min="6" max="16384" width="9" style="5"/>
  </cols>
  <sheetData>
    <row r="1" spans="1:8" x14ac:dyDescent="0.2">
      <c r="A1" s="101" t="s">
        <v>487</v>
      </c>
    </row>
    <row r="3" spans="1:8" s="103" customFormat="1" ht="12" x14ac:dyDescent="0.2">
      <c r="A3" s="1" t="s">
        <v>505</v>
      </c>
      <c r="G3" s="1"/>
      <c r="H3" s="1"/>
    </row>
    <row r="4" spans="1:8" ht="23.25" thickBot="1" x14ac:dyDescent="0.25">
      <c r="A4" s="34" t="s">
        <v>58</v>
      </c>
      <c r="B4" s="34" t="s">
        <v>59</v>
      </c>
      <c r="C4" s="18" t="s">
        <v>60</v>
      </c>
      <c r="D4" s="35" t="s">
        <v>507</v>
      </c>
    </row>
    <row r="5" spans="1:8" ht="23.25" thickBot="1" x14ac:dyDescent="0.25">
      <c r="A5" s="32" t="s">
        <v>506</v>
      </c>
      <c r="B5" s="6">
        <v>937</v>
      </c>
      <c r="C5" s="8">
        <v>1996</v>
      </c>
      <c r="D5" s="9" t="s">
        <v>61</v>
      </c>
    </row>
    <row r="6" spans="1:8" ht="15" thickBot="1" x14ac:dyDescent="0.25">
      <c r="A6" s="32" t="s">
        <v>62</v>
      </c>
      <c r="B6" s="100">
        <v>1185</v>
      </c>
      <c r="C6" s="8">
        <v>1969</v>
      </c>
      <c r="D6" s="9" t="s">
        <v>63</v>
      </c>
    </row>
    <row r="7" spans="1:8" ht="15" thickBot="1" x14ac:dyDescent="0.25">
      <c r="A7" s="32" t="s">
        <v>64</v>
      </c>
      <c r="B7" s="100">
        <v>2030</v>
      </c>
      <c r="C7" s="8">
        <v>1998</v>
      </c>
      <c r="D7" s="9" t="s">
        <v>65</v>
      </c>
    </row>
    <row r="8" spans="1:8" x14ac:dyDescent="0.2">
      <c r="A8" s="31" t="s">
        <v>66</v>
      </c>
      <c r="B8" s="10">
        <v>680</v>
      </c>
      <c r="C8" s="11">
        <v>2004</v>
      </c>
      <c r="D8" s="12">
        <v>314</v>
      </c>
    </row>
    <row r="9" spans="1:8" x14ac:dyDescent="0.2">
      <c r="A9" s="159" t="s">
        <v>508</v>
      </c>
    </row>
    <row r="10" spans="1:8" x14ac:dyDescent="0.2">
      <c r="A10" s="160" t="s">
        <v>509</v>
      </c>
    </row>
    <row r="11" spans="1:8" x14ac:dyDescent="0.15">
      <c r="A11" s="161" t="s">
        <v>510</v>
      </c>
    </row>
  </sheetData>
  <hyperlinks>
    <hyperlink ref="A1" location="Index!A1" display="Back to Index tab"/>
    <hyperlink ref="A9" r:id="rId1" display="http://gbb.aemo.com.au/Reports/Standing Capacities.aspx"/>
  </hyperlinks>
  <pageMargins left="0.7" right="0.7" top="0.75" bottom="0.75" header="0.3" footer="0.3"/>
  <pageSetup paperSize="9" orientation="portrait"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ustomHeight="1" x14ac:dyDescent="0.2"/>
  <cols>
    <col min="1" max="1" width="10.5" style="5" customWidth="1"/>
    <col min="2" max="2" width="42.375" style="5" customWidth="1"/>
    <col min="3" max="16384" width="9" style="5"/>
  </cols>
  <sheetData>
    <row r="1" spans="1:2" ht="15" customHeight="1" x14ac:dyDescent="0.2">
      <c r="A1" s="101" t="s">
        <v>487</v>
      </c>
    </row>
    <row r="3" spans="1:2" ht="15" customHeight="1" x14ac:dyDescent="0.2">
      <c r="A3" s="1" t="s">
        <v>445</v>
      </c>
    </row>
    <row r="4" spans="1:2" ht="15" customHeight="1" thickBot="1" x14ac:dyDescent="0.25">
      <c r="A4" s="34" t="s">
        <v>87</v>
      </c>
      <c r="B4" s="35" t="s">
        <v>324</v>
      </c>
    </row>
    <row r="5" spans="1:2" ht="15" customHeight="1" x14ac:dyDescent="0.2">
      <c r="A5" s="189" t="s">
        <v>325</v>
      </c>
      <c r="B5" s="13" t="s">
        <v>326</v>
      </c>
    </row>
    <row r="6" spans="1:2" ht="15" customHeight="1" x14ac:dyDescent="0.2">
      <c r="A6" s="190"/>
      <c r="B6" s="13" t="s">
        <v>327</v>
      </c>
    </row>
    <row r="7" spans="1:2" ht="15" customHeight="1" x14ac:dyDescent="0.2">
      <c r="A7" s="190"/>
      <c r="B7" s="13" t="s">
        <v>328</v>
      </c>
    </row>
    <row r="8" spans="1:2" ht="15" customHeight="1" thickBot="1" x14ac:dyDescent="0.25">
      <c r="A8" s="191"/>
      <c r="B8" s="14" t="s">
        <v>329</v>
      </c>
    </row>
    <row r="9" spans="1:2" ht="15" customHeight="1" x14ac:dyDescent="0.2">
      <c r="A9" s="189" t="s">
        <v>330</v>
      </c>
      <c r="B9" s="13" t="s">
        <v>331</v>
      </c>
    </row>
    <row r="10" spans="1:2" ht="15" customHeight="1" thickBot="1" x14ac:dyDescent="0.25">
      <c r="A10" s="191"/>
      <c r="B10" s="14" t="s">
        <v>332</v>
      </c>
    </row>
    <row r="11" spans="1:2" ht="15" customHeight="1" x14ac:dyDescent="0.2">
      <c r="A11" s="189" t="s">
        <v>333</v>
      </c>
      <c r="B11" s="13" t="s">
        <v>334</v>
      </c>
    </row>
    <row r="12" spans="1:2" ht="15" customHeight="1" x14ac:dyDescent="0.2">
      <c r="A12" s="190"/>
      <c r="B12" s="13" t="s">
        <v>335</v>
      </c>
    </row>
    <row r="13" spans="1:2" ht="15" customHeight="1" x14ac:dyDescent="0.2">
      <c r="A13" s="190"/>
      <c r="B13" s="13" t="s">
        <v>336</v>
      </c>
    </row>
    <row r="14" spans="1:2" ht="15" customHeight="1" x14ac:dyDescent="0.2">
      <c r="A14" s="190"/>
      <c r="B14" s="13" t="s">
        <v>337</v>
      </c>
    </row>
    <row r="15" spans="1:2" ht="15" customHeight="1" thickBot="1" x14ac:dyDescent="0.25">
      <c r="A15" s="191"/>
      <c r="B15" s="14" t="s">
        <v>338</v>
      </c>
    </row>
    <row r="16" spans="1:2" ht="15" customHeight="1" x14ac:dyDescent="0.2">
      <c r="A16" s="189" t="s">
        <v>339</v>
      </c>
      <c r="B16" s="13" t="s">
        <v>340</v>
      </c>
    </row>
    <row r="17" spans="1:2" ht="15" customHeight="1" x14ac:dyDescent="0.2">
      <c r="A17" s="190"/>
      <c r="B17" s="13" t="s">
        <v>341</v>
      </c>
    </row>
    <row r="18" spans="1:2" ht="15" customHeight="1" thickBot="1" x14ac:dyDescent="0.25">
      <c r="A18" s="191"/>
      <c r="B18" s="14" t="s">
        <v>342</v>
      </c>
    </row>
    <row r="19" spans="1:2" ht="15" customHeight="1" x14ac:dyDescent="0.2">
      <c r="A19" s="189" t="s">
        <v>343</v>
      </c>
      <c r="B19" s="13" t="s">
        <v>344</v>
      </c>
    </row>
    <row r="20" spans="1:2" ht="15" customHeight="1" x14ac:dyDescent="0.2">
      <c r="A20" s="190"/>
      <c r="B20" s="13" t="s">
        <v>345</v>
      </c>
    </row>
  </sheetData>
  <mergeCells count="5">
    <mergeCell ref="A5:A8"/>
    <mergeCell ref="A9:A10"/>
    <mergeCell ref="A11:A15"/>
    <mergeCell ref="A16:A18"/>
    <mergeCell ref="A19:A20"/>
  </mergeCells>
  <hyperlinks>
    <hyperlink ref="A1" location="Index!A1" display="Back to Index tab"/>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ustomHeight="1" x14ac:dyDescent="0.2"/>
  <cols>
    <col min="1" max="1" width="15.625" style="5" customWidth="1"/>
    <col min="2" max="2" width="15.125" style="5" bestFit="1" customWidth="1"/>
    <col min="3" max="3" width="14.125" style="5" bestFit="1" customWidth="1"/>
    <col min="4" max="4" width="15.625" style="5" customWidth="1"/>
    <col min="5" max="5" width="7.75" style="5" bestFit="1" customWidth="1"/>
    <col min="6" max="16384" width="9" style="5"/>
  </cols>
  <sheetData>
    <row r="1" spans="1:5" ht="15" customHeight="1" x14ac:dyDescent="0.2">
      <c r="A1" s="101" t="s">
        <v>487</v>
      </c>
    </row>
    <row r="3" spans="1:5" ht="15" customHeight="1" x14ac:dyDescent="0.2">
      <c r="A3" s="1" t="s">
        <v>446</v>
      </c>
    </row>
    <row r="4" spans="1:5" ht="30" customHeight="1" thickBot="1" x14ac:dyDescent="0.25">
      <c r="A4" s="34" t="s">
        <v>67</v>
      </c>
      <c r="B4" s="34" t="s">
        <v>68</v>
      </c>
      <c r="C4" s="18" t="s">
        <v>69</v>
      </c>
      <c r="D4" s="18" t="s">
        <v>70</v>
      </c>
      <c r="E4" s="19" t="s">
        <v>71</v>
      </c>
    </row>
    <row r="5" spans="1:5" ht="15" customHeight="1" thickBot="1" x14ac:dyDescent="0.25">
      <c r="A5" s="32" t="s">
        <v>72</v>
      </c>
      <c r="B5" s="6" t="s">
        <v>73</v>
      </c>
      <c r="C5" s="8">
        <v>7.7</v>
      </c>
      <c r="D5" s="6">
        <v>50</v>
      </c>
      <c r="E5" s="7"/>
    </row>
    <row r="6" spans="1:5" ht="15" customHeight="1" thickBot="1" x14ac:dyDescent="0.25">
      <c r="A6" s="32" t="s">
        <v>74</v>
      </c>
      <c r="B6" s="6" t="s">
        <v>75</v>
      </c>
      <c r="C6" s="8">
        <v>96</v>
      </c>
      <c r="D6" s="6"/>
      <c r="E6" s="7" t="s">
        <v>76</v>
      </c>
    </row>
    <row r="7" spans="1:5" ht="15" customHeight="1" thickBot="1" x14ac:dyDescent="0.25">
      <c r="A7" s="32" t="s">
        <v>77</v>
      </c>
      <c r="B7" s="6" t="s">
        <v>78</v>
      </c>
      <c r="C7" s="8">
        <v>14</v>
      </c>
      <c r="D7" s="6">
        <v>15</v>
      </c>
      <c r="E7" s="7"/>
    </row>
    <row r="8" spans="1:5" ht="15" customHeight="1" thickBot="1" x14ac:dyDescent="0.25">
      <c r="A8" s="32" t="s">
        <v>79</v>
      </c>
      <c r="B8" s="6" t="s">
        <v>80</v>
      </c>
      <c r="C8" s="15">
        <v>1580</v>
      </c>
      <c r="D8" s="6"/>
      <c r="E8" s="7" t="s">
        <v>76</v>
      </c>
    </row>
    <row r="9" spans="1:5" ht="15" customHeight="1" thickBot="1" x14ac:dyDescent="0.25">
      <c r="A9" s="32" t="s">
        <v>81</v>
      </c>
      <c r="B9" s="6" t="s">
        <v>82</v>
      </c>
      <c r="C9" s="8">
        <v>10</v>
      </c>
      <c r="D9" s="6">
        <v>50</v>
      </c>
      <c r="E9" s="7"/>
    </row>
    <row r="10" spans="1:5" ht="15" customHeight="1" thickBot="1" x14ac:dyDescent="0.25">
      <c r="A10" s="32" t="s">
        <v>83</v>
      </c>
      <c r="B10" s="6" t="s">
        <v>84</v>
      </c>
      <c r="C10" s="15">
        <v>3240</v>
      </c>
      <c r="D10" s="6"/>
      <c r="E10" s="7" t="s">
        <v>76</v>
      </c>
    </row>
    <row r="11" spans="1:5" ht="15" customHeight="1" x14ac:dyDescent="0.2">
      <c r="A11" s="31" t="s">
        <v>85</v>
      </c>
      <c r="B11" s="10" t="s">
        <v>86</v>
      </c>
      <c r="C11" s="16">
        <v>3240</v>
      </c>
      <c r="D11" s="10"/>
      <c r="E11" s="17" t="s">
        <v>76</v>
      </c>
    </row>
  </sheetData>
  <hyperlinks>
    <hyperlink ref="A1" location="Index!A1" display="Back to Index tab"/>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election activeCell="B1" sqref="B1"/>
    </sheetView>
  </sheetViews>
  <sheetFormatPr defaultRowHeight="15" customHeight="1" x14ac:dyDescent="0.2"/>
  <cols>
    <col min="1" max="1" width="15.625" style="5" customWidth="1"/>
    <col min="2" max="2" width="16.375" style="5" bestFit="1" customWidth="1"/>
    <col min="3" max="3" width="16.75" style="5" bestFit="1" customWidth="1"/>
    <col min="4" max="4" width="15.625" style="5" customWidth="1"/>
    <col min="5" max="16384" width="9" style="5"/>
  </cols>
  <sheetData>
    <row r="1" spans="1:4" ht="15" customHeight="1" x14ac:dyDescent="0.2">
      <c r="A1" s="101" t="s">
        <v>487</v>
      </c>
    </row>
    <row r="3" spans="1:4" ht="15" customHeight="1" x14ac:dyDescent="0.2">
      <c r="A3" s="1" t="s">
        <v>447</v>
      </c>
    </row>
    <row r="4" spans="1:4" ht="15" customHeight="1" thickBot="1" x14ac:dyDescent="0.25">
      <c r="A4" s="34" t="s">
        <v>87</v>
      </c>
      <c r="B4" s="34" t="s">
        <v>88</v>
      </c>
      <c r="C4" s="18" t="s">
        <v>89</v>
      </c>
      <c r="D4" s="19" t="s">
        <v>70</v>
      </c>
    </row>
    <row r="5" spans="1:4" ht="15" customHeight="1" thickBot="1" x14ac:dyDescent="0.25">
      <c r="A5" s="32" t="s">
        <v>90</v>
      </c>
      <c r="B5" s="6">
        <v>93</v>
      </c>
      <c r="C5" s="8">
        <v>7.6</v>
      </c>
      <c r="D5" s="9">
        <v>50</v>
      </c>
    </row>
    <row r="6" spans="1:4" ht="15" customHeight="1" thickBot="1" x14ac:dyDescent="0.25">
      <c r="A6" s="32" t="s">
        <v>91</v>
      </c>
      <c r="B6" s="6">
        <v>150</v>
      </c>
      <c r="C6" s="8">
        <v>7.7</v>
      </c>
      <c r="D6" s="9">
        <v>50</v>
      </c>
    </row>
    <row r="7" spans="1:4" ht="15" customHeight="1" thickBot="1" x14ac:dyDescent="0.25">
      <c r="A7" s="32" t="s">
        <v>92</v>
      </c>
      <c r="B7" s="6">
        <v>23</v>
      </c>
      <c r="C7" s="8">
        <v>7.7</v>
      </c>
      <c r="D7" s="9">
        <v>50</v>
      </c>
    </row>
    <row r="8" spans="1:4" ht="15" customHeight="1" thickBot="1" x14ac:dyDescent="0.25">
      <c r="A8" s="32" t="s">
        <v>93</v>
      </c>
      <c r="B8" s="6">
        <v>4.2</v>
      </c>
      <c r="C8" s="8">
        <v>10.7</v>
      </c>
      <c r="D8" s="9">
        <v>35</v>
      </c>
    </row>
    <row r="9" spans="1:4" ht="15" customHeight="1" thickBot="1" x14ac:dyDescent="0.25">
      <c r="A9" s="32" t="s">
        <v>94</v>
      </c>
      <c r="B9" s="6">
        <v>1.5</v>
      </c>
      <c r="C9" s="8">
        <v>6.2</v>
      </c>
      <c r="D9" s="9">
        <v>55</v>
      </c>
    </row>
    <row r="10" spans="1:4" ht="15" customHeight="1" thickBot="1" x14ac:dyDescent="0.25">
      <c r="A10" s="32" t="s">
        <v>95</v>
      </c>
      <c r="B10" s="6">
        <v>4.2</v>
      </c>
      <c r="C10" s="8">
        <v>11.7</v>
      </c>
      <c r="D10" s="9">
        <v>30</v>
      </c>
    </row>
    <row r="11" spans="1:4" ht="15" customHeight="1" thickBot="1" x14ac:dyDescent="0.25">
      <c r="A11" s="32" t="s">
        <v>96</v>
      </c>
      <c r="B11" s="6">
        <v>5.7</v>
      </c>
      <c r="C11" s="8">
        <v>8.1999999999999993</v>
      </c>
      <c r="D11" s="9">
        <v>50</v>
      </c>
    </row>
    <row r="12" spans="1:4" ht="15" customHeight="1" x14ac:dyDescent="0.2">
      <c r="A12" s="31" t="s">
        <v>97</v>
      </c>
      <c r="B12" s="10">
        <v>1.2</v>
      </c>
      <c r="C12" s="11">
        <v>6</v>
      </c>
      <c r="D12" s="12">
        <v>50</v>
      </c>
    </row>
  </sheetData>
  <hyperlinks>
    <hyperlink ref="A1" location="Index!A1" display="Back to Index tab"/>
  </hyperlink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a14523ce-dede-483e-883a-2d83261080bd">PLAN-83-26</_dlc_DocId>
    <_dlc_DocIdUrl xmlns="a14523ce-dede-483e-883a-2d83261080bd">
      <Url>http://sharedocs/sites/planning/mm/_layouts/15/DocIdRedir.aspx?ID=PLAN-83-26</Url>
      <Description>PLAN-83-26</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0121D1664A9408B94202CF30C10C5" ma:contentTypeVersion="0" ma:contentTypeDescription="Create a new document." ma:contentTypeScope="" ma:versionID="035a3d5cf78f37c6dcb596d46c28ee2b">
  <xsd:schema xmlns:xsd="http://www.w3.org/2001/XMLSchema" xmlns:xs="http://www.w3.org/2001/XMLSchema" xmlns:p="http://schemas.microsoft.com/office/2006/metadata/properties" xmlns:ns2="a14523ce-dede-483e-883a-2d83261080bd" targetNamespace="http://schemas.microsoft.com/office/2006/metadata/properties" ma:root="true" ma:fieldsID="7609b2132cc27c2e027996f255529d92"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A412BC5F-2886-49D9-849C-279EA0A82CBE}">
  <ds:schemaRefs>
    <ds:schemaRef ds:uri="http://schemas.microsoft.com/sharepoint/v3/contenttype/forms"/>
  </ds:schemaRefs>
</ds:datastoreItem>
</file>

<file path=customXml/itemProps2.xml><?xml version="1.0" encoding="utf-8"?>
<ds:datastoreItem xmlns:ds="http://schemas.openxmlformats.org/officeDocument/2006/customXml" ds:itemID="{E5B34EA5-26AB-4B29-8671-5E348D24A9D7}">
  <ds:schemaRefs>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purl.org/dc/dcmitype/"/>
    <ds:schemaRef ds:uri="http://purl.org/dc/elements/1.1/"/>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6C105EB2-DA96-4040-BF25-C36A8682DE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3860746-5347-4BD8-9B9F-AA36A2CAE4DA}">
  <ds:schemaRefs>
    <ds:schemaRef ds:uri="http://schemas.microsoft.com/sharepoint/events"/>
  </ds:schemaRefs>
</ds:datastoreItem>
</file>

<file path=customXml/itemProps5.xml><?xml version="1.0" encoding="utf-8"?>
<ds:datastoreItem xmlns:ds="http://schemas.openxmlformats.org/officeDocument/2006/customXml" ds:itemID="{60384B6D-E3E5-443D-B210-589E090018A8}">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Index</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Figure 1</vt:lpstr>
      <vt:lpstr>Figure 2</vt:lpstr>
      <vt:lpstr>Figure 3</vt:lpstr>
      <vt:lpstr>Figure 6</vt:lpstr>
      <vt:lpstr>Figure 21</vt:lpstr>
      <vt:lpstr>Figure 22</vt:lpstr>
      <vt:lpstr>Figure 23</vt:lpstr>
      <vt:lpstr>Figure 24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2016-08-28T06:25:20Z</dcterms:created>
  <dcterms:modified xsi:type="dcterms:W3CDTF">2017-03-10T00:09:13Z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0x0101000550121D1664A9408B94202CF30C10C5</vt:lpwstr>
  </property>
  <property fmtid="{D5CDD505-2E9C-101B-9397-08002B2CF9AE}" pid="3" name="_dlc_DocIdItemGuid">
    <vt:lpwstr>c6967c09-243e-4aa3-98eb-dd0bc7c7aab3</vt:lpwstr>
  </property>
  <property fmtid="{D5CDD505-2E9C-101B-9397-08002B2CF9AE}" pid="4" name="AEMODocumentType">
    <vt:lpwstr>1;#Operational Record|859762f2-4462-42eb-9744-c955c7e2c540</vt:lpwstr>
  </property>
  <property fmtid="{D5CDD505-2E9C-101B-9397-08002B2CF9AE}" pid="5" name="AEMOKeywords">
    <vt:lpwstr/>
  </property>
</Properties>
</file>