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5500" yWindow="210" windowWidth="18540" windowHeight="11910"/>
  </bookViews>
  <sheets>
    <sheet name="MCL" sheetId="3" r:id="rId1"/>
    <sheet name="RegionalData" sheetId="2" r:id="rId2"/>
    <sheet name="ParticipantData" sheetId="12" r:id="rId3"/>
    <sheet name="Version history" sheetId="13" r:id="rId4"/>
  </sheets>
  <externalReferences>
    <externalReference r:id="rId5"/>
  </externalReferences>
  <definedNames>
    <definedName name="GST" localSheetId="3">[1]MCL!$G$8</definedName>
    <definedName name="GST">MCL!$G$8</definedName>
    <definedName name="NSW_EG" localSheetId="3">[1]ParticipantData!$I$14</definedName>
    <definedName name="NSW_EG">ParticipantData!$I$14</definedName>
    <definedName name="NSW_EL" localSheetId="3">[1]ParticipantData!$I$7</definedName>
    <definedName name="NSW_EL">ParticipantData!$I$7</definedName>
    <definedName name="NSW_P" localSheetId="3">[1]RegionalData!$H$6</definedName>
    <definedName name="NSW_P">RegionalData!$H$6</definedName>
    <definedName name="NSW_PCS" localSheetId="3">[1]ParticipantData!$E$23</definedName>
    <definedName name="NSW_PCS">ParticipantData!$E$23</definedName>
    <definedName name="NSW_PDS" localSheetId="3">[1]ParticipantData!$E$22</definedName>
    <definedName name="NSW_PDS">ParticipantData!$E$22</definedName>
    <definedName name="NSW_PHH" localSheetId="3">[1]RegionalData!$D$21:$AY$21</definedName>
    <definedName name="NSW_PHH">RegionalData!$D$21:$AY$21</definedName>
    <definedName name="NSW_PHHC100" localSheetId="3">[1]RegionalData!$D$26:$AY$26</definedName>
    <definedName name="NSW_PHHC100">RegionalData!$D$26:$AY$26</definedName>
    <definedName name="NSW_PHHC200" localSheetId="3">[1]RegionalData!$D$31:$AY$31</definedName>
    <definedName name="NSW_PHHC200">RegionalData!$D$31:$AY$31</definedName>
    <definedName name="NSW_PHHC300" localSheetId="3">[1]RegionalData!$D$36:$AY$36</definedName>
    <definedName name="NSW_PHHC300">RegionalData!$D$36:$AY$36</definedName>
    <definedName name="NSW_PRAFG" localSheetId="3">[1]ParticipantData!$L$11</definedName>
    <definedName name="NSW_PRAFG">ParticipantData!$L$11</definedName>
    <definedName name="NSW_PRAFL" localSheetId="3">[1]ParticipantData!$L$8</definedName>
    <definedName name="NSW_PRAFL">ParticipantData!$L$8</definedName>
    <definedName name="NSW_PRAFR" localSheetId="3">[1]ParticipantData!$L$14</definedName>
    <definedName name="NSW_PRAFR">ParticipantData!$L$14</definedName>
    <definedName name="NSW_PRAFRC100" localSheetId="3">[1]ParticipantData!$L$17</definedName>
    <definedName name="NSW_PRAFRC100">ParticipantData!$L$17</definedName>
    <definedName name="NSW_PRAFRC200" localSheetId="3">[1]ParticipantData!$L$20</definedName>
    <definedName name="NSW_PRAFRC200">ParticipantData!$L$20</definedName>
    <definedName name="NSW_PRAFRC300" localSheetId="3">[1]ParticipantData!$L$23</definedName>
    <definedName name="NSW_PRAFRC300">ParticipantData!$L$23</definedName>
    <definedName name="NSW_RC" localSheetId="3">[1]ParticipantData!$I$16</definedName>
    <definedName name="NSW_RC">ParticipantData!$I$16</definedName>
    <definedName name="NSW_RCC100" localSheetId="3">[1]ParticipantData!$I$18</definedName>
    <definedName name="NSW_RCC100">ParticipantData!$I$18</definedName>
    <definedName name="NSW_RCC200" localSheetId="3">[1]ParticipantData!$I$19</definedName>
    <definedName name="NSW_RCC200">ParticipantData!$I$19</definedName>
    <definedName name="NSW_RCC300" localSheetId="3">[1]ParticipantData!$I$20</definedName>
    <definedName name="NSW_RCC300">ParticipantData!$I$20</definedName>
    <definedName name="NSW_RCD" localSheetId="3">[1]ParticipantData!$I$23</definedName>
    <definedName name="NSW_RCD">ParticipantData!$I$23</definedName>
    <definedName name="NSW_RCS" localSheetId="3">[1]ParticipantData!$I$17</definedName>
    <definedName name="NSW_RCS">ParticipantData!$I$17</definedName>
    <definedName name="NSW_RD" localSheetId="3">[1]ParticipantData!$I$9</definedName>
    <definedName name="NSW_RD">ParticipantData!$I$9</definedName>
    <definedName name="NSW_RDC100" localSheetId="3">[1]ParticipantData!$I$11</definedName>
    <definedName name="NSW_RDC100">ParticipantData!$I$11</definedName>
    <definedName name="NSW_RDC200" localSheetId="3">[1]ParticipantData!$I$12</definedName>
    <definedName name="NSW_RDC200">ParticipantData!$I$12</definedName>
    <definedName name="NSW_RDC300" localSheetId="3">[1]ParticipantData!$I$13</definedName>
    <definedName name="NSW_RDC300">ParticipantData!$I$13</definedName>
    <definedName name="NSW_RDD" localSheetId="3">[1]ParticipantData!$I$22</definedName>
    <definedName name="NSW_RDD">ParticipantData!$I$22</definedName>
    <definedName name="NSW_RDS" localSheetId="3">[1]ParticipantData!$I$10</definedName>
    <definedName name="NSW_RDS">ParticipantData!$I$10</definedName>
    <definedName name="NSW_RLWP" localSheetId="3">[1]RegionalData!$H$7</definedName>
    <definedName name="NSW_RLWP">RegionalData!$H$7</definedName>
    <definedName name="NSW_RLWPC100" localSheetId="3">[1]RegionalData!$H$8</definedName>
    <definedName name="NSW_RLWPC100">RegionalData!$H$8</definedName>
    <definedName name="NSW_RLWPC200" localSheetId="3">[1]RegionalData!$H$9</definedName>
    <definedName name="NSW_RLWPC200">RegionalData!$H$9</definedName>
    <definedName name="NSW_RLWPC300" localSheetId="3">[1]RegionalData!$H$10</definedName>
    <definedName name="NSW_RLWPC300">RegionalData!$H$10</definedName>
    <definedName name="NSW_VFOSL" localSheetId="3">[1]RegionalData!$H$11</definedName>
    <definedName name="NSW_VFOSL">RegionalData!$H$11</definedName>
    <definedName name="NSW_VFPM" localSheetId="3">[1]RegionalData!$H$12</definedName>
    <definedName name="NSW_VFPM">RegionalData!$H$12</definedName>
    <definedName name="_xlnm.Print_Titles" localSheetId="2">ParticipantData!$Q:$Q</definedName>
    <definedName name="_xlnm.Print_Titles" localSheetId="1">RegionalData!$B:$C</definedName>
    <definedName name="QLD_EG" localSheetId="3">[1]ParticipantData!$I$35</definedName>
    <definedName name="QLD_EG">ParticipantData!$I$35</definedName>
    <definedName name="QLD_EL" localSheetId="3">[1]ParticipantData!$I$28</definedName>
    <definedName name="QLD_EL">ParticipantData!$I$28</definedName>
    <definedName name="QLD_P" localSheetId="3">[1]RegionalData!$I$6</definedName>
    <definedName name="QLD_P">RegionalData!$I$6</definedName>
    <definedName name="QLD_PCS" localSheetId="3">[1]ParticipantData!$E$44</definedName>
    <definedName name="QLD_PCS">ParticipantData!$E$44</definedName>
    <definedName name="QLD_PDS" localSheetId="3">[1]ParticipantData!$E$43</definedName>
    <definedName name="QLD_PDS">ParticipantData!$E$43</definedName>
    <definedName name="QLD_PHH" localSheetId="3">[1]RegionalData!$D$22:$AY$22</definedName>
    <definedName name="QLD_PHH">RegionalData!$D$22:$AY$22</definedName>
    <definedName name="QLD_PHHC100" localSheetId="3">[1]RegionalData!$D$27:$AY$27</definedName>
    <definedName name="QLD_PHHC100">RegionalData!$D$27:$AY$27</definedName>
    <definedName name="QLD_PHHC200" localSheetId="3">[1]RegionalData!$D$32:$AY$32</definedName>
    <definedName name="QLD_PHHC200">RegionalData!$D$32:$AY$32</definedName>
    <definedName name="QLD_PHHC300" localSheetId="3">[1]RegionalData!$D$37:$AY$37</definedName>
    <definedName name="QLD_PHHC300">RegionalData!$D$37:$AY$37</definedName>
    <definedName name="QLD_PRAFG" localSheetId="3">[1]ParticipantData!$L$32</definedName>
    <definedName name="QLD_PRAFG">ParticipantData!$L$32</definedName>
    <definedName name="QLD_PRAFL" localSheetId="3">[1]ParticipantData!$L$29</definedName>
    <definedName name="QLD_PRAFL">ParticipantData!$L$29</definedName>
    <definedName name="QLD_PRAFR" localSheetId="3">[1]ParticipantData!$L$35</definedName>
    <definedName name="QLD_PRAFR">ParticipantData!$L$35</definedName>
    <definedName name="QLD_PRAFRC100" localSheetId="3">[1]ParticipantData!$L$38</definedName>
    <definedName name="QLD_PRAFRC100">ParticipantData!$L$38</definedName>
    <definedName name="QLD_PRAFRC200" localSheetId="3">[1]ParticipantData!$L$41</definedName>
    <definedName name="QLD_PRAFRC200">ParticipantData!$L$41</definedName>
    <definedName name="QLD_PRAFRC300" localSheetId="3">[1]ParticipantData!$L$44</definedName>
    <definedName name="QLD_PRAFRC300">ParticipantData!$L$44</definedName>
    <definedName name="QLD_RC" localSheetId="3">[1]ParticipantData!$I$37</definedName>
    <definedName name="QLD_RC">ParticipantData!$I$37</definedName>
    <definedName name="QLD_RCC100" localSheetId="3">[1]ParticipantData!$I$39</definedName>
    <definedName name="QLD_RCC100">ParticipantData!$I$39</definedName>
    <definedName name="QLD_RCC200" localSheetId="3">[1]ParticipantData!$I$40</definedName>
    <definedName name="QLD_RCC200">ParticipantData!$I$40</definedName>
    <definedName name="QLD_RCC300" localSheetId="3">[1]ParticipantData!$I$41</definedName>
    <definedName name="QLD_RCC300">ParticipantData!$I$41</definedName>
    <definedName name="QLD_RCD" localSheetId="3">[1]ParticipantData!$I$44</definedName>
    <definedName name="QLD_RCD">ParticipantData!$I$44</definedName>
    <definedName name="QLD_RCS" localSheetId="3">[1]ParticipantData!$I$38</definedName>
    <definedName name="QLD_RCS">ParticipantData!$I$38</definedName>
    <definedName name="QLD_RD" localSheetId="3">[1]ParticipantData!$I$30</definedName>
    <definedName name="QLD_RD">ParticipantData!$I$30</definedName>
    <definedName name="QLD_RDC100" localSheetId="3">[1]ParticipantData!$I$32</definedName>
    <definedName name="QLD_RDC100">ParticipantData!$I$32</definedName>
    <definedName name="QLD_RDC200" localSheetId="3">[1]ParticipantData!$I$33</definedName>
    <definedName name="QLD_RDC200">ParticipantData!$I$33</definedName>
    <definedName name="QLD_RDC300" localSheetId="3">[1]ParticipantData!$I$34</definedName>
    <definedName name="QLD_RDC300">ParticipantData!$I$34</definedName>
    <definedName name="QLD_RDD" localSheetId="3">[1]ParticipantData!$I$43</definedName>
    <definedName name="QLD_RDD">ParticipantData!$I$43</definedName>
    <definedName name="QLD_RDS" localSheetId="3">[1]ParticipantData!$I$31</definedName>
    <definedName name="QLD_RDS">ParticipantData!$I$31</definedName>
    <definedName name="QLD_RLWP" localSheetId="3">[1]RegionalData!$I$7</definedName>
    <definedName name="QLD_RLWP">RegionalData!$I$7</definedName>
    <definedName name="QLD_RLWPC100" localSheetId="3">[1]RegionalData!$I$8</definedName>
    <definedName name="QLD_RLWPC100">RegionalData!$I$8</definedName>
    <definedName name="QLD_RLWPC200" localSheetId="3">[1]RegionalData!$I$9</definedName>
    <definedName name="QLD_RLWPC200">RegionalData!$I$9</definedName>
    <definedName name="QLD_RLWPC300" localSheetId="3">[1]RegionalData!$I$10</definedName>
    <definedName name="QLD_RLWPC300">RegionalData!$I$10</definedName>
    <definedName name="QLD_VFOSL" localSheetId="3">[1]RegionalData!$I$11</definedName>
    <definedName name="QLD_VFOSL">RegionalData!$I$11</definedName>
    <definedName name="QLD_VFPM" localSheetId="3">[1]RegionalData!$I$12</definedName>
    <definedName name="QLD_VFPM">RegionalData!$I$12</definedName>
    <definedName name="SA_EG" localSheetId="3">[1]ParticipantData!$I$56</definedName>
    <definedName name="SA_EG">ParticipantData!$I$56</definedName>
    <definedName name="SA_EL" localSheetId="3">[1]ParticipantData!$I$49</definedName>
    <definedName name="SA_EL">ParticipantData!$I$49</definedName>
    <definedName name="SA_P" localSheetId="3">[1]RegionalData!$J$6</definedName>
    <definedName name="SA_P">RegionalData!$J$6</definedName>
    <definedName name="SA_PCS" localSheetId="3">[1]ParticipantData!$E$65</definedName>
    <definedName name="SA_PCS">ParticipantData!$E$65</definedName>
    <definedName name="SA_PDS" localSheetId="3">[1]ParticipantData!$E$64</definedName>
    <definedName name="SA_PDS">ParticipantData!$E$64</definedName>
    <definedName name="SA_PHH" localSheetId="3">[1]RegionalData!$D$23:$AY$23</definedName>
    <definedName name="SA_PHH">RegionalData!$D$23:$AY$23</definedName>
    <definedName name="SA_PHHC100" localSheetId="3">[1]RegionalData!$D$28:$AY$28</definedName>
    <definedName name="SA_PHHC100">RegionalData!$D$28:$AY$28</definedName>
    <definedName name="SA_PHHC200" localSheetId="3">[1]RegionalData!$D$33:$AY$33</definedName>
    <definedName name="SA_PHHC200">RegionalData!$D$33:$AY$33</definedName>
    <definedName name="SA_PHHC300" localSheetId="3">[1]RegionalData!$D$38:$AY$38</definedName>
    <definedName name="SA_PHHC300">RegionalData!$D$38:$AY$38</definedName>
    <definedName name="SA_PRAFG" localSheetId="3">[1]ParticipantData!$L$53</definedName>
    <definedName name="SA_PRAFG">ParticipantData!$L$53</definedName>
    <definedName name="SA_PRAFL" localSheetId="3">[1]ParticipantData!$L$50</definedName>
    <definedName name="SA_PRAFL">ParticipantData!$L$50</definedName>
    <definedName name="SA_PRAFR" localSheetId="3">[1]ParticipantData!$L$56</definedName>
    <definedName name="SA_PRAFR">ParticipantData!$L$56</definedName>
    <definedName name="SA_PRAFRC100" localSheetId="3">[1]ParticipantData!$L$59</definedName>
    <definedName name="SA_PRAFRC100">ParticipantData!$L$59</definedName>
    <definedName name="SA_PRAFRC200" localSheetId="3">[1]ParticipantData!$L$62</definedName>
    <definedName name="SA_PRAFRC200">ParticipantData!$L$62</definedName>
    <definedName name="SA_PRAFRC300" localSheetId="3">[1]ParticipantData!$L$65</definedName>
    <definedName name="SA_PRAFRC300">ParticipantData!$L$65</definedName>
    <definedName name="SA_RC" localSheetId="3">[1]ParticipantData!$I$58</definedName>
    <definedName name="SA_RC">ParticipantData!$I$58</definedName>
    <definedName name="SA_RCC100" localSheetId="3">[1]ParticipantData!$I$60</definedName>
    <definedName name="SA_RCC100">ParticipantData!$I$60</definedName>
    <definedName name="SA_RCC200" localSheetId="3">[1]ParticipantData!$I$61</definedName>
    <definedName name="SA_RCC200">ParticipantData!$I$61</definedName>
    <definedName name="SA_RCC300" localSheetId="3">[1]ParticipantData!$I$62</definedName>
    <definedName name="SA_RCC300">ParticipantData!$I$62</definedName>
    <definedName name="SA_RCD" localSheetId="3">[1]ParticipantData!$I$65</definedName>
    <definedName name="SA_RCD">ParticipantData!$I$65</definedName>
    <definedName name="SA_RCS" localSheetId="3">[1]ParticipantData!$I$59</definedName>
    <definedName name="SA_RCS">ParticipantData!$I$59</definedName>
    <definedName name="SA_RD" localSheetId="3">[1]ParticipantData!$I$51</definedName>
    <definedName name="SA_RD">ParticipantData!$I$51</definedName>
    <definedName name="SA_RDC100" localSheetId="3">[1]ParticipantData!$I$53</definedName>
    <definedName name="SA_RDC100">ParticipantData!$I$53</definedName>
    <definedName name="SA_RDC200" localSheetId="3">[1]ParticipantData!$I$54</definedName>
    <definedName name="SA_RDC200">ParticipantData!$I$54</definedName>
    <definedName name="SA_RDC300" localSheetId="3">[1]ParticipantData!$I$55</definedName>
    <definedName name="SA_RDC300">ParticipantData!$I$55</definedName>
    <definedName name="SA_RDD" localSheetId="3">[1]ParticipantData!$I$64</definedName>
    <definedName name="SA_RDD">ParticipantData!$I$64</definedName>
    <definedName name="SA_RDS" localSheetId="3">[1]ParticipantData!$I$52</definedName>
    <definedName name="SA_RDS">ParticipantData!$I$52</definedName>
    <definedName name="SA_RLWP" localSheetId="3">[1]RegionalData!$J$7</definedName>
    <definedName name="SA_RLWP">RegionalData!$J$7</definedName>
    <definedName name="SA_RLWPC100" localSheetId="3">[1]RegionalData!$J$8</definedName>
    <definedName name="SA_RLWPC100">RegionalData!$J$8</definedName>
    <definedName name="SA_RLWPC200" localSheetId="3">[1]RegionalData!$J$9</definedName>
    <definedName name="SA_RLWPC200">RegionalData!$J$9</definedName>
    <definedName name="SA_RLWPC300" localSheetId="3">[1]RegionalData!$J$10</definedName>
    <definedName name="SA_RLWPC300">RegionalData!$J$10</definedName>
    <definedName name="SA_VFOSL" localSheetId="3">[1]RegionalData!$J$11</definedName>
    <definedName name="SA_VFOSL">RegionalData!$J$11</definedName>
    <definedName name="SA_VFPM" localSheetId="3">[1]RegionalData!$J$12</definedName>
    <definedName name="SA_VFPM">RegionalData!$J$12</definedName>
    <definedName name="TAS_EG" localSheetId="3">[1]ParticipantData!$I$77</definedName>
    <definedName name="TAS_EG">ParticipantData!$I$77</definedName>
    <definedName name="TAS_EL" localSheetId="3">[1]ParticipantData!$I$70</definedName>
    <definedName name="TAS_EL">ParticipantData!$I$70</definedName>
    <definedName name="TAS_P" localSheetId="3">[1]RegionalData!$K$6</definedName>
    <definedName name="TAS_P">RegionalData!$K$6</definedName>
    <definedName name="TAS_PCS" localSheetId="3">[1]ParticipantData!$E$86</definedName>
    <definedName name="TAS_PCS">ParticipantData!$E$86</definedName>
    <definedName name="TAS_PDS" localSheetId="3">[1]ParticipantData!$E$85</definedName>
    <definedName name="TAS_PDS">ParticipantData!$E$85</definedName>
    <definedName name="TAS_PHH" localSheetId="3">[1]RegionalData!$D$24:$AY$24</definedName>
    <definedName name="TAS_PHH">RegionalData!$D$24:$AY$24</definedName>
    <definedName name="TAS_PHHC100" localSheetId="3">[1]RegionalData!$D$29:$AY$29</definedName>
    <definedName name="TAS_PHHC100">RegionalData!$D$29:$AY$29</definedName>
    <definedName name="TAS_PHHC200" localSheetId="3">[1]RegionalData!$D$34:$AY$34</definedName>
    <definedName name="TAS_PHHC200">RegionalData!$D$34:$AY$34</definedName>
    <definedName name="TAS_PHHC300" localSheetId="3">[1]RegionalData!$D$39:$AY$39</definedName>
    <definedName name="TAS_PHHC300">RegionalData!$D$39:$AY$39</definedName>
    <definedName name="TAS_PRAFG" localSheetId="3">[1]ParticipantData!$L$74</definedName>
    <definedName name="TAS_PRAFG">ParticipantData!$L$74</definedName>
    <definedName name="TAS_PRAFL" localSheetId="3">[1]ParticipantData!$L$71</definedName>
    <definedName name="TAS_PRAFL">ParticipantData!$L$71</definedName>
    <definedName name="TAS_PRAFR" localSheetId="3">[1]ParticipantData!$L$77</definedName>
    <definedName name="TAS_PRAFR">ParticipantData!$L$77</definedName>
    <definedName name="TAS_PRAFRC100" localSheetId="3">[1]ParticipantData!$L$80</definedName>
    <definedName name="TAS_PRAFRC100">ParticipantData!$L$80</definedName>
    <definedName name="TAS_PRAFRC200" localSheetId="3">[1]ParticipantData!$L$83</definedName>
    <definedName name="TAS_PRAFRC200">ParticipantData!$L$83</definedName>
    <definedName name="TAS_PRAFRC300" localSheetId="3">[1]ParticipantData!$L$86</definedName>
    <definedName name="TAS_PRAFRC300">ParticipantData!$L$86</definedName>
    <definedName name="TAS_RC" localSheetId="3">[1]ParticipantData!$I$79</definedName>
    <definedName name="TAS_RC">ParticipantData!$I$79</definedName>
    <definedName name="TAS_RCC100" localSheetId="3">[1]ParticipantData!$I$81</definedName>
    <definedName name="TAS_RCC100">ParticipantData!$I$81</definedName>
    <definedName name="TAS_RCC200" localSheetId="3">[1]ParticipantData!$I$82</definedName>
    <definedName name="TAS_RCC200">ParticipantData!$I$82</definedName>
    <definedName name="TAS_RCC300" localSheetId="3">[1]ParticipantData!$I$83</definedName>
    <definedName name="TAS_RCC300">ParticipantData!$I$83</definedName>
    <definedName name="TAS_RCD" localSheetId="3">[1]ParticipantData!$I$86</definedName>
    <definedName name="TAS_RCD">ParticipantData!$I$86</definedName>
    <definedName name="TAS_RCS" localSheetId="3">[1]ParticipantData!$I$80</definedName>
    <definedName name="TAS_RCS">ParticipantData!$I$80</definedName>
    <definedName name="TAS_RD" localSheetId="3">[1]ParticipantData!$I$72</definedName>
    <definedName name="TAS_RD">ParticipantData!$I$72</definedName>
    <definedName name="TAS_RDC100" localSheetId="3">[1]ParticipantData!$I$74</definedName>
    <definedName name="TAS_RDC100">ParticipantData!$I$74</definedName>
    <definedName name="TAS_RDC200" localSheetId="3">[1]ParticipantData!$I$75</definedName>
    <definedName name="TAS_RDC200">ParticipantData!$I$75</definedName>
    <definedName name="TAS_RDC300" localSheetId="3">[1]ParticipantData!$I$76</definedName>
    <definedName name="TAS_RDC300">ParticipantData!$I$76</definedName>
    <definedName name="TAS_RDD" localSheetId="3">[1]ParticipantData!$I$85</definedName>
    <definedName name="TAS_RDD">ParticipantData!$I$85</definedName>
    <definedName name="TAS_RDS" localSheetId="3">[1]ParticipantData!$I$73</definedName>
    <definedName name="TAS_RDS">ParticipantData!$I$73</definedName>
    <definedName name="TAS_RLWP" localSheetId="3">[1]RegionalData!$K$7</definedName>
    <definedName name="TAS_RLWP">RegionalData!$K$7</definedName>
    <definedName name="TAS_RLWPC100" localSheetId="3">[1]RegionalData!$K$8</definedName>
    <definedName name="TAS_RLWPC100">RegionalData!$K$8</definedName>
    <definedName name="TAS_RLWPC200" localSheetId="3">[1]RegionalData!$K$9</definedName>
    <definedName name="TAS_RLWPC200">RegionalData!$K$9</definedName>
    <definedName name="TAS_RLWPC300" localSheetId="3">[1]RegionalData!$K$10</definedName>
    <definedName name="TAS_RLWPC300">RegionalData!$K$10</definedName>
    <definedName name="TAS_VFOSL" localSheetId="3">[1]RegionalData!$K$11</definedName>
    <definedName name="TAS_VFOSL">RegionalData!$K$11</definedName>
    <definedName name="TAS_VFPM" localSheetId="3">[1]RegionalData!$K$12</definedName>
    <definedName name="TAS_VFPM">RegionalData!$K$12</definedName>
    <definedName name="TOSL" localSheetId="3">[1]MCL!$E$8</definedName>
    <definedName name="TOSL">MCL!$E$8</definedName>
    <definedName name="TRP" localSheetId="3">[1]MCL!$F$8</definedName>
    <definedName name="TRP">MCL!$F$8</definedName>
    <definedName name="VIC_EG" localSheetId="3">[1]ParticipantData!$I$98</definedName>
    <definedName name="VIC_EG">ParticipantData!$I$98</definedName>
    <definedName name="VIC_EL" localSheetId="3">[1]ParticipantData!$I$91</definedName>
    <definedName name="VIC_EL">ParticipantData!$I$91</definedName>
    <definedName name="VIC_P" localSheetId="3">[1]RegionalData!$L$6</definedName>
    <definedName name="VIC_P">RegionalData!$L$6</definedName>
    <definedName name="VIC_PCS" localSheetId="3">[1]ParticipantData!$E$107</definedName>
    <definedName name="VIC_PCS">ParticipantData!$E$107</definedName>
    <definedName name="VIC_PDS" localSheetId="3">[1]ParticipantData!$E$106</definedName>
    <definedName name="VIC_PDS">ParticipantData!$E$106</definedName>
    <definedName name="VIC_PHH" localSheetId="3">[1]RegionalData!$D$25:$AY$25</definedName>
    <definedName name="VIC_PHH">RegionalData!$D$25:$AY$25</definedName>
    <definedName name="VIC_PHHC100" localSheetId="3">[1]RegionalData!$D$30:$AY$30</definedName>
    <definedName name="VIC_PHHC100">RegionalData!$D$30:$AY$30</definedName>
    <definedName name="VIC_PHHC200" localSheetId="3">[1]RegionalData!$D$35:$AY$35</definedName>
    <definedName name="VIC_PHHC200">RegionalData!$D$35:$AY$35</definedName>
    <definedName name="VIC_PHHC300" localSheetId="3">[1]RegionalData!$D$40:$AY$40</definedName>
    <definedName name="VIC_PHHC300">RegionalData!$D$40:$AY$40</definedName>
    <definedName name="VIC_PRAFG" localSheetId="3">[1]ParticipantData!$L$95</definedName>
    <definedName name="VIC_PRAFG">ParticipantData!$L$95</definedName>
    <definedName name="VIC_PRAFL" localSheetId="3">[1]ParticipantData!$L$92</definedName>
    <definedName name="VIC_PRAFL">ParticipantData!$L$92</definedName>
    <definedName name="VIC_PRAFR" localSheetId="3">[1]ParticipantData!$L$98</definedName>
    <definedName name="VIC_PRAFR">ParticipantData!$L$98</definedName>
    <definedName name="VIC_PRAFRC100" localSheetId="3">[1]ParticipantData!$L$101</definedName>
    <definedName name="VIC_PRAFRC100">ParticipantData!$L$101</definedName>
    <definedName name="VIC_PRAFRC200" localSheetId="3">[1]ParticipantData!$L$104</definedName>
    <definedName name="VIC_PRAFRC200">ParticipantData!$L$104</definedName>
    <definedName name="VIC_PRAFRC300" localSheetId="3">[1]ParticipantData!$L$107</definedName>
    <definedName name="VIC_PRAFRC300">ParticipantData!$L$107</definedName>
    <definedName name="VIC_RC" localSheetId="3">[1]ParticipantData!$I$100</definedName>
    <definedName name="VIC_RC">ParticipantData!$I$100</definedName>
    <definedName name="VIC_RCC100" localSheetId="3">[1]ParticipantData!$I$102</definedName>
    <definedName name="VIC_RCC100">ParticipantData!$I$102</definedName>
    <definedName name="VIC_RCC200" localSheetId="3">[1]ParticipantData!$I$103</definedName>
    <definedName name="VIC_RCC200">ParticipantData!$I$103</definedName>
    <definedName name="VIC_RCC300" localSheetId="3">[1]ParticipantData!$I$104</definedName>
    <definedName name="VIC_RCC300">ParticipantData!$I$104</definedName>
    <definedName name="VIC_RCD" localSheetId="3">[1]ParticipantData!$I$107</definedName>
    <definedName name="VIC_RCD">ParticipantData!$I$107</definedName>
    <definedName name="VIC_RCS" localSheetId="3">[1]ParticipantData!$I$101</definedName>
    <definedName name="VIC_RCS">ParticipantData!$I$101</definedName>
    <definedName name="VIC_RD" localSheetId="3">[1]ParticipantData!$I$93</definedName>
    <definedName name="VIC_RD">ParticipantData!$I$93</definedName>
    <definedName name="VIC_RDC100" localSheetId="3">[1]ParticipantData!$I$95</definedName>
    <definedName name="VIC_RDC100">ParticipantData!$I$95</definedName>
    <definedName name="VIC_RDC200" localSheetId="3">[1]ParticipantData!$I$96</definedName>
    <definedName name="VIC_RDC200">ParticipantData!$I$96</definedName>
    <definedName name="VIC_RDC300" localSheetId="3">[1]ParticipantData!$I$97</definedName>
    <definedName name="VIC_RDC300">ParticipantData!$I$97</definedName>
    <definedName name="VIC_RDD" localSheetId="3">[1]ParticipantData!$I$106</definedName>
    <definedName name="VIC_RDD">ParticipantData!$I$106</definedName>
    <definedName name="VIC_RDS" localSheetId="3">[1]ParticipantData!$I$94</definedName>
    <definedName name="VIC_RDS">ParticipantData!$I$94</definedName>
    <definedName name="VIC_RLWP" localSheetId="3">[1]RegionalData!$L$7</definedName>
    <definedName name="VIC_RLWP">RegionalData!$L$7</definedName>
    <definedName name="VIC_RLWPC100" localSheetId="3">[1]RegionalData!$L$8</definedName>
    <definedName name="VIC_RLWPC100">RegionalData!$L$8</definedName>
    <definedName name="VIC_RLWPC200" localSheetId="3">[1]RegionalData!$L$9</definedName>
    <definedName name="VIC_RLWPC200">RegionalData!$L$9</definedName>
    <definedName name="VIC_RLWPC300" localSheetId="3">[1]RegionalData!$L$10</definedName>
    <definedName name="VIC_RLWPC300">RegionalData!$L$10</definedName>
    <definedName name="VIC_VFOSL" localSheetId="3">[1]RegionalData!$L$11</definedName>
    <definedName name="VIC_VFOSL">RegionalData!$L$11</definedName>
    <definedName name="VIC_VFPM" localSheetId="3">[1]RegionalData!$L$12</definedName>
    <definedName name="VIC_VFPM">RegionalData!$L$12</definedName>
  </definedNames>
  <calcPr calcId="145621"/>
</workbook>
</file>

<file path=xl/calcChain.xml><?xml version="1.0" encoding="utf-8"?>
<calcChain xmlns="http://schemas.openxmlformats.org/spreadsheetml/2006/main">
  <c r="L95" i="12" l="1"/>
  <c r="L92" i="12"/>
  <c r="L74" i="12"/>
  <c r="L71" i="12"/>
  <c r="L53" i="12"/>
  <c r="L50" i="12"/>
  <c r="L32" i="12"/>
  <c r="L29" i="12"/>
  <c r="L11" i="12"/>
  <c r="A2" i="3" l="1"/>
  <c r="Q6" i="3" l="1"/>
  <c r="P6" i="3"/>
  <c r="O6" i="3"/>
  <c r="N6" i="3"/>
  <c r="Q7" i="3" l="1"/>
  <c r="P7" i="3"/>
  <c r="O7" i="3"/>
  <c r="N7" i="3"/>
  <c r="Q8" i="3"/>
  <c r="P8" i="3"/>
  <c r="O8" i="3"/>
  <c r="N8" i="3"/>
  <c r="M8" i="3"/>
  <c r="M7" i="3"/>
  <c r="M6" i="3"/>
  <c r="BM108" i="12"/>
  <c r="BL108" i="12"/>
  <c r="BK108" i="12"/>
  <c r="BJ108" i="12"/>
  <c r="BI108" i="12"/>
  <c r="BH108" i="12"/>
  <c r="BG108" i="12"/>
  <c r="BF108" i="12"/>
  <c r="BE108" i="12"/>
  <c r="BD108" i="12"/>
  <c r="BC108" i="12"/>
  <c r="BB108" i="12"/>
  <c r="BA108" i="12"/>
  <c r="AZ108" i="12"/>
  <c r="AY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R108" i="12"/>
  <c r="BM107" i="12"/>
  <c r="BL107" i="12"/>
  <c r="BK107" i="12"/>
  <c r="BJ107" i="12"/>
  <c r="BI107" i="12"/>
  <c r="BH107" i="12"/>
  <c r="BG107" i="12"/>
  <c r="BF107" i="12"/>
  <c r="BE107" i="12"/>
  <c r="BD107" i="12"/>
  <c r="BC107" i="12"/>
  <c r="BB107" i="12"/>
  <c r="BA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R107" i="12"/>
  <c r="BM106" i="12"/>
  <c r="BL106" i="12"/>
  <c r="BK106" i="12"/>
  <c r="BJ106" i="12"/>
  <c r="BI106" i="12"/>
  <c r="BH106" i="12"/>
  <c r="BG106" i="12"/>
  <c r="BF106" i="12"/>
  <c r="BE106" i="12"/>
  <c r="BD106" i="12"/>
  <c r="BC106" i="12"/>
  <c r="BB106"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R106" i="12"/>
  <c r="BM105" i="12"/>
  <c r="BL105" i="12"/>
  <c r="BK105" i="12"/>
  <c r="BJ105" i="12"/>
  <c r="BI105" i="12"/>
  <c r="BH105" i="12"/>
  <c r="BG105" i="12"/>
  <c r="BF105" i="12"/>
  <c r="BE105" i="12"/>
  <c r="BD105" i="12"/>
  <c r="BC105" i="12"/>
  <c r="BB105" i="12"/>
  <c r="BA105" i="12"/>
  <c r="AZ105" i="12"/>
  <c r="AY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R105"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R87" i="12"/>
  <c r="BM86" i="12"/>
  <c r="BL86" i="12"/>
  <c r="BK86" i="12"/>
  <c r="BJ86" i="12"/>
  <c r="BI86" i="12"/>
  <c r="BH86" i="12"/>
  <c r="BG86" i="12"/>
  <c r="BF86" i="12"/>
  <c r="BE86" i="12"/>
  <c r="BD86" i="12"/>
  <c r="BC86" i="12"/>
  <c r="BB86" i="12"/>
  <c r="BA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R86" i="12"/>
  <c r="BM85" i="12"/>
  <c r="BL85" i="12"/>
  <c r="BK85" i="12"/>
  <c r="BJ85" i="12"/>
  <c r="BI85" i="12"/>
  <c r="BH85" i="12"/>
  <c r="BG85" i="12"/>
  <c r="BF85" i="12"/>
  <c r="BE85" i="12"/>
  <c r="BD85" i="12"/>
  <c r="BC85" i="12"/>
  <c r="BB85" i="12"/>
  <c r="BA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R85" i="12"/>
  <c r="BM84" i="12"/>
  <c r="BL84" i="12"/>
  <c r="BK84" i="12"/>
  <c r="BJ84" i="12"/>
  <c r="BI84" i="12"/>
  <c r="BH84" i="12"/>
  <c r="BG84" i="12"/>
  <c r="BF84" i="12"/>
  <c r="BE84" i="12"/>
  <c r="BD84" i="12"/>
  <c r="BC84" i="12"/>
  <c r="BB84"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R84" i="12"/>
  <c r="BM66" i="12"/>
  <c r="BL66" i="12"/>
  <c r="BK66" i="12"/>
  <c r="BJ66" i="12"/>
  <c r="BI66" i="12"/>
  <c r="BH66" i="12"/>
  <c r="BG66" i="12"/>
  <c r="BF66" i="12"/>
  <c r="BE66" i="12"/>
  <c r="BD66" i="12"/>
  <c r="BC66" i="12"/>
  <c r="BB66"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R66" i="12"/>
  <c r="BM65" i="12"/>
  <c r="BL65" i="12"/>
  <c r="BK65" i="12"/>
  <c r="BJ65" i="12"/>
  <c r="BI65" i="12"/>
  <c r="BH65" i="12"/>
  <c r="BG65" i="12"/>
  <c r="BF65" i="12"/>
  <c r="BE65" i="12"/>
  <c r="BD65" i="12"/>
  <c r="BC65" i="12"/>
  <c r="BB65" i="12"/>
  <c r="BA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R65" i="12"/>
  <c r="BM64" i="12"/>
  <c r="BL64" i="12"/>
  <c r="BK64" i="12"/>
  <c r="BJ64" i="12"/>
  <c r="BI64" i="12"/>
  <c r="BH64" i="12"/>
  <c r="BG64" i="12"/>
  <c r="BF64" i="12"/>
  <c r="BE64" i="12"/>
  <c r="BD64" i="12"/>
  <c r="BC64" i="12"/>
  <c r="BB64"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R64" i="12"/>
  <c r="BM63" i="12"/>
  <c r="BL63" i="12"/>
  <c r="BK63" i="12"/>
  <c r="BJ63" i="12"/>
  <c r="BI63" i="12"/>
  <c r="BH63" i="12"/>
  <c r="BG63" i="12"/>
  <c r="BF63" i="12"/>
  <c r="BE63" i="12"/>
  <c r="BD63" i="12"/>
  <c r="BC63" i="12"/>
  <c r="BB63" i="12"/>
  <c r="BA63" i="12"/>
  <c r="AZ63" i="12"/>
  <c r="AY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R63" i="12"/>
  <c r="R43" i="12"/>
  <c r="R42" i="12"/>
  <c r="BM45" i="12"/>
  <c r="BL45" i="12"/>
  <c r="BK45" i="12"/>
  <c r="BJ45" i="12"/>
  <c r="BI45" i="12"/>
  <c r="BH45" i="12"/>
  <c r="BG45" i="12"/>
  <c r="BF45" i="12"/>
  <c r="BE45" i="12"/>
  <c r="BD45" i="12"/>
  <c r="BC45"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BM44" i="12"/>
  <c r="BL44" i="12"/>
  <c r="BK44" i="12"/>
  <c r="BJ44" i="12"/>
  <c r="BI44" i="12"/>
  <c r="BH44" i="12"/>
  <c r="BG44" i="12"/>
  <c r="BF44" i="12"/>
  <c r="BE44" i="12"/>
  <c r="BD44" i="12"/>
  <c r="BC44" i="12"/>
  <c r="BB44"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R44" i="12"/>
  <c r="BM43" i="12"/>
  <c r="BL43" i="12"/>
  <c r="BK43" i="12"/>
  <c r="BJ43" i="12"/>
  <c r="BI43" i="12"/>
  <c r="BH43" i="12"/>
  <c r="BG43" i="12"/>
  <c r="BF43" i="12"/>
  <c r="BE43" i="12"/>
  <c r="BD43" i="12"/>
  <c r="BC43" i="12"/>
  <c r="BB43" i="12"/>
  <c r="BA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BM42" i="12"/>
  <c r="BL42" i="12"/>
  <c r="BK42" i="12"/>
  <c r="BJ42" i="12"/>
  <c r="BI42" i="12"/>
  <c r="BH42" i="12"/>
  <c r="BG42" i="12"/>
  <c r="BF42" i="12"/>
  <c r="BE42" i="12"/>
  <c r="BD42" i="12"/>
  <c r="BC42" i="12"/>
  <c r="BB42"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H7" i="2"/>
  <c r="M8" i="12" s="1"/>
  <c r="R24" i="12"/>
  <c r="L10" i="2"/>
  <c r="L9" i="2"/>
  <c r="M104" i="12" s="1"/>
  <c r="N104" i="12" s="1"/>
  <c r="L8" i="2"/>
  <c r="K10" i="2"/>
  <c r="K9" i="2"/>
  <c r="K8" i="2"/>
  <c r="M80" i="12" s="1"/>
  <c r="N80" i="12" s="1"/>
  <c r="J10" i="2"/>
  <c r="J9" i="2"/>
  <c r="J8" i="2"/>
  <c r="I10" i="2"/>
  <c r="I9" i="2"/>
  <c r="I8" i="2"/>
  <c r="H10" i="2"/>
  <c r="H9" i="2"/>
  <c r="H8" i="2"/>
  <c r="S24" i="12"/>
  <c r="T24" i="12"/>
  <c r="U24" i="12"/>
  <c r="V24" i="12"/>
  <c r="W24" i="12"/>
  <c r="X24" i="12"/>
  <c r="Y24" i="12"/>
  <c r="Z24" i="12"/>
  <c r="AA24" i="12"/>
  <c r="AB24" i="12"/>
  <c r="AC24" i="12"/>
  <c r="AD24" i="12"/>
  <c r="AE24" i="12"/>
  <c r="AF24" i="12"/>
  <c r="AG24" i="12"/>
  <c r="AH24" i="12"/>
  <c r="AI24" i="12"/>
  <c r="AJ24" i="12"/>
  <c r="AK24" i="12"/>
  <c r="AL24" i="12"/>
  <c r="AM24" i="12"/>
  <c r="AN24" i="12"/>
  <c r="AO24" i="12"/>
  <c r="AP24" i="12"/>
  <c r="AQ24" i="12"/>
  <c r="AR24" i="12"/>
  <c r="AS24" i="12"/>
  <c r="AT24" i="12"/>
  <c r="AU24" i="12"/>
  <c r="AV24" i="12"/>
  <c r="AW24" i="12"/>
  <c r="AX24" i="12"/>
  <c r="AY24" i="12"/>
  <c r="AZ24" i="12"/>
  <c r="BA24" i="12"/>
  <c r="BB24" i="12"/>
  <c r="BC24" i="12"/>
  <c r="BD24" i="12"/>
  <c r="BE24" i="12"/>
  <c r="BF24" i="12"/>
  <c r="BG24" i="12"/>
  <c r="BH24" i="12"/>
  <c r="BI24" i="12"/>
  <c r="BJ24" i="12"/>
  <c r="BK24" i="12"/>
  <c r="BL24" i="12"/>
  <c r="BM24" i="12"/>
  <c r="R23" i="12"/>
  <c r="S23" i="12"/>
  <c r="T23" i="12"/>
  <c r="U23" i="12"/>
  <c r="V23" i="12"/>
  <c r="W23" i="12"/>
  <c r="X23" i="12"/>
  <c r="Y23" i="12"/>
  <c r="Z23" i="12"/>
  <c r="AA23" i="12"/>
  <c r="AB23" i="12"/>
  <c r="AC23" i="12"/>
  <c r="AD23" i="12"/>
  <c r="AE23" i="12"/>
  <c r="AF23" i="12"/>
  <c r="AG23" i="12"/>
  <c r="AH23" i="12"/>
  <c r="AI23" i="12"/>
  <c r="AJ23" i="12"/>
  <c r="AK23" i="12"/>
  <c r="AL23" i="12"/>
  <c r="AM23" i="12"/>
  <c r="AN23" i="12"/>
  <c r="AO23" i="12"/>
  <c r="AP23" i="12"/>
  <c r="AQ23" i="12"/>
  <c r="AR23" i="12"/>
  <c r="AS23" i="12"/>
  <c r="AT23" i="12"/>
  <c r="AU23" i="12"/>
  <c r="AV23" i="12"/>
  <c r="AW23" i="12"/>
  <c r="AX23" i="12"/>
  <c r="AY23" i="12"/>
  <c r="AZ23" i="12"/>
  <c r="BA23" i="12"/>
  <c r="BB23" i="12"/>
  <c r="BC23" i="12"/>
  <c r="BD23" i="12"/>
  <c r="BE23" i="12"/>
  <c r="BF23" i="12"/>
  <c r="BG23" i="12"/>
  <c r="BH23" i="12"/>
  <c r="BI23" i="12"/>
  <c r="BJ23" i="12"/>
  <c r="BK23" i="12"/>
  <c r="BL23" i="12"/>
  <c r="BM23" i="12"/>
  <c r="R22" i="12"/>
  <c r="L7" i="2"/>
  <c r="K7" i="2"/>
  <c r="J7" i="2"/>
  <c r="I7" i="2"/>
  <c r="S22" i="12"/>
  <c r="T22" i="12"/>
  <c r="U22" i="12"/>
  <c r="V22" i="12"/>
  <c r="W22" i="12"/>
  <c r="X22" i="12"/>
  <c r="Y22" i="12"/>
  <c r="Z22" i="12"/>
  <c r="AA22" i="12"/>
  <c r="AB22" i="12"/>
  <c r="AC22" i="12"/>
  <c r="AD22" i="12"/>
  <c r="AE22" i="12"/>
  <c r="AF22" i="12"/>
  <c r="AG22" i="12"/>
  <c r="AH22" i="12"/>
  <c r="AI22" i="12"/>
  <c r="AJ22" i="12"/>
  <c r="AK22" i="12"/>
  <c r="AL22" i="12"/>
  <c r="AM22" i="12"/>
  <c r="AN22" i="12"/>
  <c r="AO22" i="12"/>
  <c r="AP22" i="12"/>
  <c r="AQ22" i="12"/>
  <c r="AR22" i="12"/>
  <c r="AS22" i="12"/>
  <c r="AT22" i="12"/>
  <c r="AU22" i="12"/>
  <c r="AV22" i="12"/>
  <c r="AW22" i="12"/>
  <c r="AX22" i="12"/>
  <c r="AY22" i="12"/>
  <c r="AZ22" i="12"/>
  <c r="BA22" i="12"/>
  <c r="BB22" i="12"/>
  <c r="BC22" i="12"/>
  <c r="BD22" i="12"/>
  <c r="BE22" i="12"/>
  <c r="BF22" i="12"/>
  <c r="BG22" i="12"/>
  <c r="BH22" i="12"/>
  <c r="BI22" i="12"/>
  <c r="BJ22" i="12"/>
  <c r="BK22" i="12"/>
  <c r="BL22" i="12"/>
  <c r="BM22" i="12"/>
  <c r="R21" i="12"/>
  <c r="S21" i="12"/>
  <c r="T21" i="12"/>
  <c r="U21" i="12"/>
  <c r="V21" i="12"/>
  <c r="W21" i="12"/>
  <c r="X21" i="12"/>
  <c r="Y21" i="12"/>
  <c r="Z21" i="12"/>
  <c r="AA21" i="12"/>
  <c r="AB21" i="12"/>
  <c r="AC21" i="12"/>
  <c r="AD21" i="12"/>
  <c r="AE21" i="12"/>
  <c r="AF21" i="12"/>
  <c r="AG21" i="12"/>
  <c r="AH21" i="12"/>
  <c r="AI21" i="12"/>
  <c r="AJ21" i="12"/>
  <c r="AK21" i="12"/>
  <c r="AL21" i="12"/>
  <c r="AM21" i="12"/>
  <c r="AN21" i="12"/>
  <c r="AO21" i="12"/>
  <c r="AP21" i="12"/>
  <c r="AQ21" i="12"/>
  <c r="AR21" i="12"/>
  <c r="AS21" i="12"/>
  <c r="AT21" i="12"/>
  <c r="AU21" i="12"/>
  <c r="AV21" i="12"/>
  <c r="AW21" i="12"/>
  <c r="AX21" i="12"/>
  <c r="AY21" i="12"/>
  <c r="AZ21" i="12"/>
  <c r="BA21" i="12"/>
  <c r="BB21" i="12"/>
  <c r="BC21" i="12"/>
  <c r="BD21" i="12"/>
  <c r="BE21" i="12"/>
  <c r="BF21" i="12"/>
  <c r="BG21" i="12"/>
  <c r="BH21" i="12"/>
  <c r="BI21" i="12"/>
  <c r="BJ21" i="12"/>
  <c r="BK21" i="12"/>
  <c r="BL21" i="12"/>
  <c r="BM21" i="12"/>
  <c r="D37" i="3"/>
  <c r="E37" i="3"/>
  <c r="F37" i="3"/>
  <c r="G37" i="3"/>
  <c r="H37" i="3"/>
  <c r="D38" i="3"/>
  <c r="E38" i="3"/>
  <c r="F38" i="3"/>
  <c r="G38" i="3"/>
  <c r="H38" i="3"/>
  <c r="M65" i="12" l="1"/>
  <c r="N65" i="12" s="1"/>
  <c r="L65" i="12" s="1"/>
  <c r="O25" i="3" s="1"/>
  <c r="M101" i="12"/>
  <c r="N101" i="12" s="1"/>
  <c r="M83" i="12"/>
  <c r="N83" i="12" s="1"/>
  <c r="L83" i="12" s="1"/>
  <c r="M107" i="12"/>
  <c r="N107" i="12" s="1"/>
  <c r="M38" i="12"/>
  <c r="N38" i="12" s="1"/>
  <c r="L38" i="12" s="1"/>
  <c r="M62" i="12"/>
  <c r="N62" i="12" s="1"/>
  <c r="M86" i="12"/>
  <c r="N86" i="12" s="1"/>
  <c r="L86" i="12" s="1"/>
  <c r="M44" i="12"/>
  <c r="M41" i="12"/>
  <c r="N41" i="12" s="1"/>
  <c r="M17" i="12"/>
  <c r="M20" i="12"/>
  <c r="M23" i="12"/>
  <c r="M95" i="12"/>
  <c r="N95" i="12" s="1"/>
  <c r="Q18" i="3" s="1"/>
  <c r="M98" i="12"/>
  <c r="N98" i="12" s="1"/>
  <c r="L98" i="12" s="1"/>
  <c r="H29" i="3" s="1"/>
  <c r="M92" i="12"/>
  <c r="N92" i="12" s="1"/>
  <c r="Q17" i="3" s="1"/>
  <c r="M53" i="12"/>
  <c r="N53" i="12" s="1"/>
  <c r="M56" i="12"/>
  <c r="N56" i="12" s="1"/>
  <c r="L56" i="12" s="1"/>
  <c r="O30" i="3" s="1"/>
  <c r="M50" i="12"/>
  <c r="N50" i="12" s="1"/>
  <c r="F17" i="3" s="1"/>
  <c r="L80" i="12"/>
  <c r="L104" i="12"/>
  <c r="M74" i="12"/>
  <c r="N74" i="12" s="1"/>
  <c r="G18" i="3" s="1"/>
  <c r="M77" i="12"/>
  <c r="N77" i="12" s="1"/>
  <c r="L77" i="12" s="1"/>
  <c r="M71" i="12"/>
  <c r="N71" i="12" s="1"/>
  <c r="M59" i="12"/>
  <c r="M32" i="12"/>
  <c r="N32" i="12" s="1"/>
  <c r="M35" i="12"/>
  <c r="N35" i="12" s="1"/>
  <c r="L35" i="12" s="1"/>
  <c r="M29" i="12"/>
  <c r="N29" i="12" s="1"/>
  <c r="E17" i="3" s="1"/>
  <c r="M11" i="12"/>
  <c r="N11" i="12" s="1"/>
  <c r="M18" i="3" s="1"/>
  <c r="M14" i="12"/>
  <c r="N14" i="12" s="1"/>
  <c r="L14" i="12" s="1"/>
  <c r="N8" i="12"/>
  <c r="H17" i="3"/>
  <c r="H18" i="3"/>
  <c r="N18" i="3"/>
  <c r="E18" i="3"/>
  <c r="O17" i="3"/>
  <c r="D18" i="3"/>
  <c r="F18" i="3"/>
  <c r="O18" i="3"/>
  <c r="N17" i="3"/>
  <c r="F21" i="3" l="1"/>
  <c r="O21" i="3"/>
  <c r="H22" i="3"/>
  <c r="O29" i="3"/>
  <c r="H21" i="3"/>
  <c r="P32" i="3"/>
  <c r="F22" i="3"/>
  <c r="Q21" i="3"/>
  <c r="N20" i="12"/>
  <c r="L20" i="12" s="1"/>
  <c r="N17" i="12"/>
  <c r="L17" i="12" s="1"/>
  <c r="F29" i="3"/>
  <c r="Q30" i="3"/>
  <c r="N59" i="12"/>
  <c r="L59" i="12" s="1"/>
  <c r="H32" i="3"/>
  <c r="N23" i="12"/>
  <c r="L23" i="12" s="1"/>
  <c r="N44" i="12"/>
  <c r="L44" i="12" s="1"/>
  <c r="F30" i="3"/>
  <c r="H30" i="3"/>
  <c r="Q22" i="3"/>
  <c r="L8" i="12"/>
  <c r="M17" i="3" s="1"/>
  <c r="M40" i="3" s="1"/>
  <c r="O22" i="3"/>
  <c r="Q29" i="3"/>
  <c r="G21" i="3"/>
  <c r="G23" i="3"/>
  <c r="G32" i="3"/>
  <c r="P30" i="3"/>
  <c r="G24" i="3"/>
  <c r="P22" i="3"/>
  <c r="G30" i="3"/>
  <c r="G29" i="3"/>
  <c r="P21" i="3"/>
  <c r="P29" i="3"/>
  <c r="G22" i="3"/>
  <c r="G31" i="3"/>
  <c r="P23" i="3"/>
  <c r="P31" i="3"/>
  <c r="D22" i="3"/>
  <c r="M21" i="3"/>
  <c r="M30" i="3"/>
  <c r="M22" i="3"/>
  <c r="D30" i="3"/>
  <c r="M29" i="3"/>
  <c r="D29" i="3"/>
  <c r="D21" i="3"/>
  <c r="E21" i="3"/>
  <c r="N22" i="3"/>
  <c r="E23" i="3"/>
  <c r="N30" i="3"/>
  <c r="N21" i="3"/>
  <c r="E29" i="3"/>
  <c r="N29" i="3"/>
  <c r="E30" i="3"/>
  <c r="E22" i="3"/>
  <c r="P18" i="3"/>
  <c r="G25" i="3"/>
  <c r="E31" i="3"/>
  <c r="L107" i="12"/>
  <c r="Q25" i="3" s="1"/>
  <c r="Q32" i="3"/>
  <c r="H24" i="3"/>
  <c r="Q24" i="3"/>
  <c r="L101" i="12"/>
  <c r="H31" i="3" s="1"/>
  <c r="G33" i="3"/>
  <c r="P25" i="3"/>
  <c r="P33" i="3"/>
  <c r="P24" i="3"/>
  <c r="G17" i="3"/>
  <c r="F33" i="3"/>
  <c r="F25" i="3"/>
  <c r="O33" i="3"/>
  <c r="L62" i="12"/>
  <c r="O24" i="3" s="1"/>
  <c r="L41" i="12"/>
  <c r="N31" i="3"/>
  <c r="N23" i="3"/>
  <c r="N40" i="3"/>
  <c r="H25" i="3"/>
  <c r="Q40" i="3"/>
  <c r="O40" i="3"/>
  <c r="P26" i="3" l="1"/>
  <c r="G26" i="3"/>
  <c r="G40" i="3" s="1"/>
  <c r="G41" i="3" s="1"/>
  <c r="G42" i="3" s="1"/>
  <c r="G34" i="3"/>
  <c r="P34" i="3"/>
  <c r="E33" i="3"/>
  <c r="N25" i="3"/>
  <c r="M33" i="3"/>
  <c r="D25" i="3"/>
  <c r="D33" i="3"/>
  <c r="M25" i="3"/>
  <c r="M23" i="3"/>
  <c r="M31" i="3"/>
  <c r="D23" i="3"/>
  <c r="D31" i="3"/>
  <c r="O23" i="3"/>
  <c r="O26" i="3" s="1"/>
  <c r="O31" i="3"/>
  <c r="O34" i="3" s="1"/>
  <c r="F31" i="3"/>
  <c r="F23" i="3"/>
  <c r="D24" i="3"/>
  <c r="D32" i="3"/>
  <c r="M32" i="3"/>
  <c r="M24" i="3"/>
  <c r="N33" i="3"/>
  <c r="E25" i="3"/>
  <c r="H23" i="3"/>
  <c r="H26" i="3" s="1"/>
  <c r="D17" i="3"/>
  <c r="Q31" i="3"/>
  <c r="Q23" i="3"/>
  <c r="Q26" i="3" s="1"/>
  <c r="Q33" i="3"/>
  <c r="H33" i="3"/>
  <c r="H34" i="3" s="1"/>
  <c r="P17" i="3"/>
  <c r="P40" i="3" s="1"/>
  <c r="F24" i="3"/>
  <c r="O32" i="3"/>
  <c r="F32" i="3"/>
  <c r="N32" i="3"/>
  <c r="E24" i="3"/>
  <c r="E26" i="3" s="1"/>
  <c r="N24" i="3"/>
  <c r="N26" i="3" s="1"/>
  <c r="E32" i="3"/>
  <c r="M26" i="3" l="1"/>
  <c r="H40" i="3"/>
  <c r="H41" i="3" s="1"/>
  <c r="H42" i="3" s="1"/>
  <c r="D26" i="3"/>
  <c r="D40" i="3" s="1"/>
  <c r="D41" i="3" s="1"/>
  <c r="D42" i="3" s="1"/>
  <c r="P41" i="3"/>
  <c r="D34" i="3"/>
  <c r="E34" i="3"/>
  <c r="E40" i="3" s="1"/>
  <c r="E41" i="3" s="1"/>
  <c r="E42" i="3" s="1"/>
  <c r="F34" i="3"/>
  <c r="Q34" i="3"/>
  <c r="Q41" i="3" s="1"/>
  <c r="F26" i="3"/>
  <c r="M34" i="3"/>
  <c r="M41" i="3" s="1"/>
  <c r="N34" i="3"/>
  <c r="N41" i="3" s="1"/>
  <c r="O41" i="3"/>
  <c r="F40" i="3" l="1"/>
  <c r="F41" i="3" s="1"/>
  <c r="F42" i="3" s="1"/>
  <c r="I42" i="3" s="1"/>
  <c r="R42" i="3"/>
  <c r="J12" i="3" l="1"/>
</calcChain>
</file>

<file path=xl/sharedStrings.xml><?xml version="1.0" encoding="utf-8"?>
<sst xmlns="http://schemas.openxmlformats.org/spreadsheetml/2006/main" count="479" uniqueCount="149">
  <si>
    <t>NSW</t>
  </si>
  <si>
    <t>QLD</t>
  </si>
  <si>
    <t>SA</t>
  </si>
  <si>
    <t>TAS</t>
  </si>
  <si>
    <t>VIC</t>
  </si>
  <si>
    <t>Debit energy reallocations</t>
  </si>
  <si>
    <t>Debit swap reallocations</t>
  </si>
  <si>
    <t>Debit cap reallocations</t>
  </si>
  <si>
    <t>Credit energy reallocations</t>
  </si>
  <si>
    <t>Credit swap reallocations</t>
  </si>
  <si>
    <t>Credit cap reallocations</t>
  </si>
  <si>
    <t>Average daily value</t>
  </si>
  <si>
    <t>Participant data</t>
  </si>
  <si>
    <t>Profile by half hour</t>
  </si>
  <si>
    <t>GST</t>
  </si>
  <si>
    <r>
      <t>VEL</t>
    </r>
    <r>
      <rPr>
        <b/>
        <vertAlign val="subscript"/>
        <sz val="10"/>
        <rFont val="Arial"/>
        <family val="2"/>
      </rPr>
      <t>R</t>
    </r>
  </si>
  <si>
    <r>
      <t>VEG</t>
    </r>
    <r>
      <rPr>
        <b/>
        <vertAlign val="subscript"/>
        <sz val="10"/>
        <rFont val="Arial"/>
        <family val="2"/>
      </rPr>
      <t>R</t>
    </r>
  </si>
  <si>
    <t>Debit reallocations</t>
  </si>
  <si>
    <t>Energy</t>
  </si>
  <si>
    <t>Swap</t>
  </si>
  <si>
    <r>
      <t>VRD</t>
    </r>
    <r>
      <rPr>
        <b/>
        <vertAlign val="subscript"/>
        <sz val="10"/>
        <rFont val="Arial"/>
        <family val="2"/>
      </rPr>
      <t>R</t>
    </r>
  </si>
  <si>
    <t>Credit reallocations</t>
  </si>
  <si>
    <r>
      <t>VRC</t>
    </r>
    <r>
      <rPr>
        <b/>
        <vertAlign val="subscript"/>
        <sz val="10"/>
        <rFont val="Arial"/>
        <family val="2"/>
      </rPr>
      <t>R</t>
    </r>
  </si>
  <si>
    <t>Outstandings limit</t>
  </si>
  <si>
    <t>OSL</t>
  </si>
  <si>
    <t>PM</t>
  </si>
  <si>
    <t>MCL</t>
  </si>
  <si>
    <t>Prudential margin</t>
  </si>
  <si>
    <t>Total</t>
  </si>
  <si>
    <r>
      <t>EL</t>
    </r>
    <r>
      <rPr>
        <b/>
        <vertAlign val="subscript"/>
        <sz val="12"/>
        <color indexed="8"/>
        <rFont val="Calibri"/>
        <family val="2"/>
      </rPr>
      <t>R</t>
    </r>
  </si>
  <si>
    <r>
      <t>RD</t>
    </r>
    <r>
      <rPr>
        <b/>
        <vertAlign val="subscript"/>
        <sz val="12"/>
        <color indexed="8"/>
        <rFont val="Calibri"/>
        <family val="2"/>
      </rPr>
      <t>R</t>
    </r>
  </si>
  <si>
    <r>
      <t>RDS</t>
    </r>
    <r>
      <rPr>
        <b/>
        <vertAlign val="subscript"/>
        <sz val="12"/>
        <color indexed="8"/>
        <rFont val="Calibri"/>
        <family val="2"/>
      </rPr>
      <t>R</t>
    </r>
  </si>
  <si>
    <r>
      <t>EG</t>
    </r>
    <r>
      <rPr>
        <b/>
        <vertAlign val="subscript"/>
        <sz val="12"/>
        <color indexed="8"/>
        <rFont val="Calibri"/>
        <family val="2"/>
      </rPr>
      <t>R</t>
    </r>
  </si>
  <si>
    <r>
      <t>RC</t>
    </r>
    <r>
      <rPr>
        <b/>
        <vertAlign val="subscript"/>
        <sz val="12"/>
        <color indexed="8"/>
        <rFont val="Calibri"/>
        <family val="2"/>
      </rPr>
      <t>R</t>
    </r>
  </si>
  <si>
    <r>
      <t>RCS</t>
    </r>
    <r>
      <rPr>
        <b/>
        <vertAlign val="subscript"/>
        <sz val="12"/>
        <color indexed="8"/>
        <rFont val="Calibri"/>
        <family val="2"/>
      </rPr>
      <t>R</t>
    </r>
  </si>
  <si>
    <r>
      <t>EL</t>
    </r>
    <r>
      <rPr>
        <b/>
        <vertAlign val="subscript"/>
        <sz val="12"/>
        <color indexed="8"/>
        <rFont val="Calibri"/>
        <family val="2"/>
      </rPr>
      <t>HH,M,R</t>
    </r>
  </si>
  <si>
    <r>
      <t>EL</t>
    </r>
    <r>
      <rPr>
        <b/>
        <vertAlign val="subscript"/>
        <sz val="12"/>
        <color indexed="8"/>
        <rFont val="Calibri"/>
        <family val="2"/>
      </rPr>
      <t>HH,R</t>
    </r>
  </si>
  <si>
    <r>
      <t>EG</t>
    </r>
    <r>
      <rPr>
        <b/>
        <vertAlign val="subscript"/>
        <sz val="12"/>
        <color indexed="8"/>
        <rFont val="Calibri"/>
        <family val="2"/>
      </rPr>
      <t>HH,M,R</t>
    </r>
  </si>
  <si>
    <r>
      <t>EG</t>
    </r>
    <r>
      <rPr>
        <b/>
        <vertAlign val="subscript"/>
        <sz val="12"/>
        <color indexed="8"/>
        <rFont val="Calibri"/>
        <family val="2"/>
      </rPr>
      <t>HH,R</t>
    </r>
  </si>
  <si>
    <r>
      <t>RD</t>
    </r>
    <r>
      <rPr>
        <b/>
        <vertAlign val="subscript"/>
        <sz val="12"/>
        <color indexed="8"/>
        <rFont val="Calibri"/>
        <family val="2"/>
      </rPr>
      <t>HH,R</t>
    </r>
  </si>
  <si>
    <r>
      <t>RDS</t>
    </r>
    <r>
      <rPr>
        <b/>
        <vertAlign val="subscript"/>
        <sz val="12"/>
        <color indexed="8"/>
        <rFont val="Calibri"/>
        <family val="2"/>
      </rPr>
      <t>HH,R</t>
    </r>
  </si>
  <si>
    <r>
      <t>RC</t>
    </r>
    <r>
      <rPr>
        <b/>
        <vertAlign val="subscript"/>
        <sz val="12"/>
        <color indexed="8"/>
        <rFont val="Calibri"/>
        <family val="2"/>
      </rPr>
      <t>HH,R</t>
    </r>
  </si>
  <si>
    <r>
      <t>RCS</t>
    </r>
    <r>
      <rPr>
        <b/>
        <vertAlign val="subscript"/>
        <sz val="12"/>
        <color indexed="8"/>
        <rFont val="Calibri"/>
        <family val="2"/>
      </rPr>
      <t>HH,R</t>
    </r>
  </si>
  <si>
    <r>
      <t>RD$</t>
    </r>
    <r>
      <rPr>
        <b/>
        <vertAlign val="subscript"/>
        <sz val="12"/>
        <color indexed="8"/>
        <rFont val="Calibri"/>
        <family val="2"/>
      </rPr>
      <t>R</t>
    </r>
  </si>
  <si>
    <r>
      <t>RC$</t>
    </r>
    <r>
      <rPr>
        <b/>
        <vertAlign val="subscript"/>
        <sz val="12"/>
        <color indexed="8"/>
        <rFont val="Calibri"/>
        <family val="2"/>
      </rPr>
      <t>R</t>
    </r>
  </si>
  <si>
    <r>
      <t>VFOSL</t>
    </r>
    <r>
      <rPr>
        <b/>
        <vertAlign val="subscript"/>
        <sz val="12"/>
        <color indexed="8"/>
        <rFont val="Calibri"/>
        <family val="2"/>
      </rPr>
      <t>R</t>
    </r>
  </si>
  <si>
    <r>
      <t>VFPM</t>
    </r>
    <r>
      <rPr>
        <b/>
        <vertAlign val="subscript"/>
        <sz val="12"/>
        <color indexed="8"/>
        <rFont val="Calibri"/>
        <family val="2"/>
      </rPr>
      <t>R</t>
    </r>
  </si>
  <si>
    <r>
      <t>P</t>
    </r>
    <r>
      <rPr>
        <b/>
        <vertAlign val="subscript"/>
        <sz val="12"/>
        <color indexed="8"/>
        <rFont val="Calibri"/>
        <family val="2"/>
      </rPr>
      <t>R</t>
    </r>
  </si>
  <si>
    <t>Dollar Reallocations</t>
  </si>
  <si>
    <r>
      <t>ERL</t>
    </r>
    <r>
      <rPr>
        <b/>
        <vertAlign val="subscript"/>
        <sz val="12"/>
        <color indexed="8"/>
        <rFont val="Calibri"/>
        <family val="2"/>
      </rPr>
      <t>R</t>
    </r>
  </si>
  <si>
    <r>
      <t>PM</t>
    </r>
    <r>
      <rPr>
        <b/>
        <vertAlign val="subscript"/>
        <sz val="11"/>
        <color indexed="8"/>
        <rFont val="Calibri"/>
        <family val="2"/>
      </rPr>
      <t>R,E</t>
    </r>
  </si>
  <si>
    <r>
      <t>PM</t>
    </r>
    <r>
      <rPr>
        <b/>
        <vertAlign val="subscript"/>
        <sz val="11"/>
        <color indexed="8"/>
        <rFont val="Calibri"/>
        <family val="2"/>
      </rPr>
      <t>R,R</t>
    </r>
  </si>
  <si>
    <r>
      <t>RLWP</t>
    </r>
    <r>
      <rPr>
        <b/>
        <vertAlign val="subscript"/>
        <sz val="12"/>
        <color indexed="8"/>
        <rFont val="Calibri"/>
        <family val="2"/>
      </rPr>
      <t>R</t>
    </r>
  </si>
  <si>
    <r>
      <t>PRAF</t>
    </r>
    <r>
      <rPr>
        <b/>
        <vertAlign val="subscript"/>
        <sz val="11"/>
        <color indexed="8"/>
        <rFont val="Calibri"/>
        <family val="2"/>
      </rPr>
      <t>L,R</t>
    </r>
  </si>
  <si>
    <r>
      <t>PRAF</t>
    </r>
    <r>
      <rPr>
        <b/>
        <vertAlign val="subscript"/>
        <sz val="11"/>
        <color indexed="8"/>
        <rFont val="Calibri"/>
        <family val="2"/>
      </rPr>
      <t>G,R</t>
    </r>
  </si>
  <si>
    <r>
      <t>PRAF</t>
    </r>
    <r>
      <rPr>
        <b/>
        <vertAlign val="subscript"/>
        <sz val="11"/>
        <color indexed="8"/>
        <rFont val="Calibri"/>
        <family val="2"/>
      </rPr>
      <t>R,R</t>
    </r>
  </si>
  <si>
    <r>
      <t>RDC</t>
    </r>
    <r>
      <rPr>
        <b/>
        <vertAlign val="subscript"/>
        <sz val="12"/>
        <color indexed="8"/>
        <rFont val="Calibri"/>
        <family val="2"/>
      </rPr>
      <t>R,100</t>
    </r>
  </si>
  <si>
    <r>
      <t>RDC</t>
    </r>
    <r>
      <rPr>
        <b/>
        <vertAlign val="subscript"/>
        <sz val="12"/>
        <color indexed="8"/>
        <rFont val="Calibri"/>
        <family val="2"/>
      </rPr>
      <t>R,200</t>
    </r>
  </si>
  <si>
    <r>
      <t>RDC</t>
    </r>
    <r>
      <rPr>
        <b/>
        <vertAlign val="subscript"/>
        <sz val="12"/>
        <color indexed="8"/>
        <rFont val="Calibri"/>
        <family val="2"/>
      </rPr>
      <t>R,300</t>
    </r>
  </si>
  <si>
    <r>
      <t>RCC</t>
    </r>
    <r>
      <rPr>
        <b/>
        <vertAlign val="subscript"/>
        <sz val="12"/>
        <color indexed="8"/>
        <rFont val="Calibri"/>
        <family val="2"/>
      </rPr>
      <t>R,100</t>
    </r>
  </si>
  <si>
    <r>
      <t>RCC</t>
    </r>
    <r>
      <rPr>
        <b/>
        <vertAlign val="subscript"/>
        <sz val="12"/>
        <color indexed="8"/>
        <rFont val="Calibri"/>
        <family val="2"/>
      </rPr>
      <t>R,200</t>
    </r>
  </si>
  <si>
    <r>
      <t>RCC</t>
    </r>
    <r>
      <rPr>
        <b/>
        <vertAlign val="subscript"/>
        <sz val="12"/>
        <color indexed="8"/>
        <rFont val="Calibri"/>
        <family val="2"/>
      </rPr>
      <t>R,300</t>
    </r>
  </si>
  <si>
    <r>
      <t>RDC</t>
    </r>
    <r>
      <rPr>
        <b/>
        <vertAlign val="subscript"/>
        <sz val="12"/>
        <color indexed="8"/>
        <rFont val="Calibri"/>
        <family val="2"/>
      </rPr>
      <t>HH,R,100</t>
    </r>
  </si>
  <si>
    <r>
      <t>RDC</t>
    </r>
    <r>
      <rPr>
        <b/>
        <vertAlign val="subscript"/>
        <sz val="12"/>
        <color indexed="8"/>
        <rFont val="Calibri"/>
        <family val="2"/>
      </rPr>
      <t>HH,R,200</t>
    </r>
  </si>
  <si>
    <r>
      <t>RDC</t>
    </r>
    <r>
      <rPr>
        <b/>
        <vertAlign val="subscript"/>
        <sz val="12"/>
        <color indexed="8"/>
        <rFont val="Calibri"/>
        <family val="2"/>
      </rPr>
      <t>HH,R,300</t>
    </r>
  </si>
  <si>
    <r>
      <t>RCC</t>
    </r>
    <r>
      <rPr>
        <b/>
        <vertAlign val="subscript"/>
        <sz val="12"/>
        <color indexed="8"/>
        <rFont val="Calibri"/>
        <family val="2"/>
      </rPr>
      <t>HH,R,100</t>
    </r>
  </si>
  <si>
    <r>
      <t>RCC</t>
    </r>
    <r>
      <rPr>
        <b/>
        <vertAlign val="subscript"/>
        <sz val="12"/>
        <color indexed="8"/>
        <rFont val="Calibri"/>
        <family val="2"/>
      </rPr>
      <t>HH,R,200</t>
    </r>
  </si>
  <si>
    <r>
      <t>RCC</t>
    </r>
    <r>
      <rPr>
        <b/>
        <vertAlign val="subscript"/>
        <sz val="12"/>
        <color indexed="8"/>
        <rFont val="Calibri"/>
        <family val="2"/>
      </rPr>
      <t>HH,R,300</t>
    </r>
  </si>
  <si>
    <t>Net Swap</t>
  </si>
  <si>
    <t>Net Cap100</t>
  </si>
  <si>
    <r>
      <t>LWPR</t>
    </r>
    <r>
      <rPr>
        <b/>
        <vertAlign val="subscript"/>
        <sz val="11"/>
        <color indexed="63"/>
        <rFont val="Arial"/>
        <family val="2"/>
      </rPr>
      <t>L,R</t>
    </r>
  </si>
  <si>
    <r>
      <t>LWPR</t>
    </r>
    <r>
      <rPr>
        <b/>
        <vertAlign val="subscript"/>
        <sz val="11"/>
        <color indexed="63"/>
        <rFont val="Arial"/>
        <family val="2"/>
      </rPr>
      <t>G,R</t>
    </r>
  </si>
  <si>
    <r>
      <t>ERL</t>
    </r>
    <r>
      <rPr>
        <b/>
        <vertAlign val="subscript"/>
        <sz val="18"/>
        <color indexed="8"/>
        <rFont val="Calibri"/>
        <family val="2"/>
      </rPr>
      <t>HH,R</t>
    </r>
  </si>
  <si>
    <r>
      <t>P</t>
    </r>
    <r>
      <rPr>
        <b/>
        <vertAlign val="subscript"/>
        <sz val="18"/>
        <color indexed="8"/>
        <rFont val="Calibri"/>
        <family val="2"/>
      </rPr>
      <t>HH,R</t>
    </r>
  </si>
  <si>
    <r>
      <t>P</t>
    </r>
    <r>
      <rPr>
        <b/>
        <vertAlign val="subscript"/>
        <sz val="18"/>
        <color indexed="8"/>
        <rFont val="Calibri"/>
        <family val="2"/>
      </rPr>
      <t>HH,R,C100</t>
    </r>
  </si>
  <si>
    <t>Cap100</t>
  </si>
  <si>
    <t>Cap200</t>
  </si>
  <si>
    <t>Cap300</t>
  </si>
  <si>
    <r>
      <t xml:space="preserve">Profile </t>
    </r>
    <r>
      <rPr>
        <b/>
        <sz val="12"/>
        <color indexed="8"/>
        <rFont val="Arial"/>
        <family val="2"/>
      </rPr>
      <t>½</t>
    </r>
    <r>
      <rPr>
        <b/>
        <sz val="12"/>
        <color indexed="8"/>
        <rFont val="Calibri"/>
        <family val="2"/>
      </rPr>
      <t xml:space="preserve"> hr</t>
    </r>
  </si>
  <si>
    <r>
      <t>LWPR</t>
    </r>
    <r>
      <rPr>
        <b/>
        <vertAlign val="subscript"/>
        <sz val="11"/>
        <color indexed="63"/>
        <rFont val="Arial"/>
        <family val="2"/>
      </rPr>
      <t>R,R</t>
    </r>
  </si>
  <si>
    <r>
      <t>LWPR</t>
    </r>
    <r>
      <rPr>
        <b/>
        <vertAlign val="subscript"/>
        <sz val="11"/>
        <color indexed="63"/>
        <rFont val="Arial"/>
        <family val="2"/>
      </rPr>
      <t>R,R,300</t>
    </r>
  </si>
  <si>
    <r>
      <t>PRAF</t>
    </r>
    <r>
      <rPr>
        <b/>
        <vertAlign val="subscript"/>
        <sz val="12"/>
        <color indexed="8"/>
        <rFont val="Calibri"/>
        <family val="2"/>
      </rPr>
      <t>R,R,300</t>
    </r>
  </si>
  <si>
    <r>
      <t>PRAF</t>
    </r>
    <r>
      <rPr>
        <b/>
        <vertAlign val="subscript"/>
        <sz val="12"/>
        <color indexed="8"/>
        <rFont val="Calibri"/>
        <family val="2"/>
      </rPr>
      <t>R,R,200</t>
    </r>
  </si>
  <si>
    <r>
      <t>LWPR</t>
    </r>
    <r>
      <rPr>
        <b/>
        <vertAlign val="subscript"/>
        <sz val="11"/>
        <color indexed="63"/>
        <rFont val="Arial"/>
        <family val="2"/>
      </rPr>
      <t>R,R,100</t>
    </r>
  </si>
  <si>
    <r>
      <t>LWPR</t>
    </r>
    <r>
      <rPr>
        <b/>
        <vertAlign val="subscript"/>
        <sz val="11"/>
        <color indexed="63"/>
        <rFont val="Arial"/>
        <family val="2"/>
      </rPr>
      <t>R,R,200</t>
    </r>
  </si>
  <si>
    <r>
      <t>PRAF</t>
    </r>
    <r>
      <rPr>
        <b/>
        <vertAlign val="subscript"/>
        <sz val="12"/>
        <color indexed="8"/>
        <rFont val="Calibri"/>
        <family val="2"/>
      </rPr>
      <t>R,R,100</t>
    </r>
  </si>
  <si>
    <t>Net Cap200</t>
  </si>
  <si>
    <t>Net Cap300</t>
  </si>
  <si>
    <r>
      <t xml:space="preserve">Profile </t>
    </r>
    <r>
      <rPr>
        <b/>
        <sz val="12"/>
        <color indexed="8"/>
        <rFont val="Arial"/>
        <family val="2"/>
      </rPr>
      <t>½</t>
    </r>
    <r>
      <rPr>
        <b/>
        <sz val="12"/>
        <color indexed="8"/>
        <rFont val="Calibri"/>
        <family val="2"/>
      </rPr>
      <t>hr</t>
    </r>
  </si>
  <si>
    <r>
      <t>RLWP</t>
    </r>
    <r>
      <rPr>
        <b/>
        <vertAlign val="subscript"/>
        <sz val="12"/>
        <color indexed="8"/>
        <rFont val="Calibri"/>
        <family val="2"/>
      </rPr>
      <t>R,100</t>
    </r>
  </si>
  <si>
    <r>
      <t>RLWP</t>
    </r>
    <r>
      <rPr>
        <b/>
        <vertAlign val="subscript"/>
        <sz val="12"/>
        <color indexed="8"/>
        <rFont val="Calibri"/>
        <family val="2"/>
      </rPr>
      <t>R,200</t>
    </r>
  </si>
  <si>
    <r>
      <t>RLWP</t>
    </r>
    <r>
      <rPr>
        <b/>
        <vertAlign val="subscript"/>
        <sz val="12"/>
        <color indexed="8"/>
        <rFont val="Calibri"/>
        <family val="2"/>
      </rPr>
      <t>R,300</t>
    </r>
  </si>
  <si>
    <r>
      <t>P</t>
    </r>
    <r>
      <rPr>
        <b/>
        <vertAlign val="subscript"/>
        <sz val="18"/>
        <color indexed="8"/>
        <rFont val="Calibri"/>
        <family val="2"/>
      </rPr>
      <t>HH,R,100</t>
    </r>
  </si>
  <si>
    <r>
      <t>P</t>
    </r>
    <r>
      <rPr>
        <b/>
        <vertAlign val="subscript"/>
        <sz val="18"/>
        <color indexed="8"/>
        <rFont val="Calibri"/>
        <family val="2"/>
      </rPr>
      <t>HH,R,200</t>
    </r>
  </si>
  <si>
    <r>
      <t>P</t>
    </r>
    <r>
      <rPr>
        <b/>
        <vertAlign val="subscript"/>
        <sz val="18"/>
        <color indexed="8"/>
        <rFont val="Calibri"/>
        <family val="2"/>
      </rPr>
      <t>HH,R,300</t>
    </r>
  </si>
  <si>
    <r>
      <t>P</t>
    </r>
    <r>
      <rPr>
        <b/>
        <vertAlign val="subscript"/>
        <sz val="11"/>
        <color indexed="8"/>
        <rFont val="Calibri"/>
        <family val="2"/>
      </rPr>
      <t>R</t>
    </r>
  </si>
  <si>
    <r>
      <t>T</t>
    </r>
    <r>
      <rPr>
        <b/>
        <vertAlign val="subscript"/>
        <sz val="11"/>
        <rFont val="Arial"/>
        <family val="2"/>
      </rPr>
      <t>OSL</t>
    </r>
  </si>
  <si>
    <r>
      <t>T</t>
    </r>
    <r>
      <rPr>
        <b/>
        <vertAlign val="subscript"/>
        <sz val="11"/>
        <rFont val="Arial"/>
        <family val="2"/>
      </rPr>
      <t>RP</t>
    </r>
  </si>
  <si>
    <r>
      <t>VFOSL</t>
    </r>
    <r>
      <rPr>
        <b/>
        <vertAlign val="subscript"/>
        <sz val="11"/>
        <color indexed="8"/>
        <rFont val="Calibri"/>
        <family val="2"/>
      </rPr>
      <t>R</t>
    </r>
  </si>
  <si>
    <r>
      <t>VFPM</t>
    </r>
    <r>
      <rPr>
        <b/>
        <vertAlign val="subscript"/>
        <sz val="11"/>
        <color indexed="8"/>
        <rFont val="Calibri"/>
        <family val="2"/>
      </rPr>
      <t>R</t>
    </r>
  </si>
  <si>
    <t>These parameters can be changed to understand impact of differing VFs</t>
  </si>
  <si>
    <t>These parameters can be changed to understand the impact of differing prices</t>
  </si>
  <si>
    <r>
      <t>PLWP</t>
    </r>
    <r>
      <rPr>
        <b/>
        <vertAlign val="subscript"/>
        <sz val="11"/>
        <color indexed="63"/>
        <rFont val="Arial"/>
        <family val="2"/>
      </rPr>
      <t>R</t>
    </r>
  </si>
  <si>
    <r>
      <t>PGWP</t>
    </r>
    <r>
      <rPr>
        <b/>
        <vertAlign val="subscript"/>
        <sz val="11"/>
        <color indexed="63"/>
        <rFont val="Arial"/>
        <family val="2"/>
      </rPr>
      <t>R</t>
    </r>
  </si>
  <si>
    <r>
      <t>PRWP</t>
    </r>
    <r>
      <rPr>
        <b/>
        <vertAlign val="subscript"/>
        <sz val="11"/>
        <color indexed="63"/>
        <rFont val="Arial"/>
        <family val="2"/>
      </rPr>
      <t>R</t>
    </r>
  </si>
  <si>
    <r>
      <t>PLWP</t>
    </r>
    <r>
      <rPr>
        <b/>
        <vertAlign val="subscript"/>
        <sz val="11"/>
        <color indexed="63"/>
        <rFont val="Arial"/>
        <family val="2"/>
      </rPr>
      <t>R,100</t>
    </r>
  </si>
  <si>
    <r>
      <t>PLWP</t>
    </r>
    <r>
      <rPr>
        <vertAlign val="subscript"/>
        <sz val="11"/>
        <color indexed="63"/>
        <rFont val="Arial"/>
        <family val="2"/>
      </rPr>
      <t>R,200</t>
    </r>
  </si>
  <si>
    <r>
      <t>PLWP</t>
    </r>
    <r>
      <rPr>
        <b/>
        <vertAlign val="subscript"/>
        <sz val="11"/>
        <color indexed="63"/>
        <rFont val="Arial"/>
        <family val="2"/>
      </rPr>
      <t>R,300</t>
    </r>
  </si>
  <si>
    <t>Version No</t>
  </si>
  <si>
    <t>Change Description</t>
  </si>
  <si>
    <t>Date</t>
  </si>
  <si>
    <t>Corrected typo in MCL sheet, cell A2
Corrected informative table in MCL sheet, cell N6, O6, P6 and Q6 
Corrected cap 200 and 300 calculation in MCL sheet, H32 and H33</t>
  </si>
  <si>
    <t>Notes</t>
  </si>
  <si>
    <t>Disclaimer</t>
  </si>
  <si>
    <t xml:space="preserve">This calculator is made available to you on the following basis: </t>
  </si>
  <si>
    <t xml:space="preserve">     the exclusion of such liability, AEMO’s liability is limited, at AEMO’s option, to the re-supply of the information, provided that this limitation is permitted by law and is fair and reasonable.</t>
  </si>
  <si>
    <t>(a) Purpose – This calculator has been produced by the Australian Energy Market Operator Limited (AEMO) to provide information about the calculation of maximum credit limits in the National Electricity Market as at the date of publication.</t>
  </si>
  <si>
    <t>The calculator is used by entering values into the orange shaded cells. All other cells are locked.</t>
  </si>
  <si>
    <t xml:space="preserve">(b) No substitute – This calculator is not a substitute for, and should not be read in lieu of, the National Electricity Law (NEL), the National Electricity Rules (Rules) or any other relevant laws, codes, rules, procedures or policies. Further, this calculator does not constitute </t>
  </si>
  <si>
    <t xml:space="preserve">      legal or business advice and should not be relied on as a substitute for obtaining detailed advice about the NEL, the Rules, or any other relevant laws, codes, rules, procedures or policies, or any aspect of the national electricity market or the electricity industry.</t>
  </si>
  <si>
    <t xml:space="preserve">(c) No Warranty – While AEMO has used due care and skill in the production of this calculator, neither AEMO, nor any of its employees, agents and consultants make any   representation or warranty as to the accuracy, reliability, completeness or suitability for particular </t>
  </si>
  <si>
    <t xml:space="preserve">      purposes of the information provided by this calculator.  </t>
  </si>
  <si>
    <t xml:space="preserve">(d) Limitation of liability - To the extent permitted by law, AEMO and its advisers, consultants and other contributors to this calculator (or their respective associated companies, businesses, partners, directors, officers or employees) shall not be liable for any errors, </t>
  </si>
  <si>
    <t xml:space="preserve">      omissions, defects or misrepresentations in the information contained in this calculator, or for any loss or damage suffered by persons who use or rely on such information (including by reason of negligence, negligent misstatement or otherwise). If any law prohibits </t>
  </si>
  <si>
    <r>
      <t>VEL</t>
    </r>
    <r>
      <rPr>
        <b/>
        <vertAlign val="subscript"/>
        <sz val="11"/>
        <rFont val="Calibri"/>
        <family val="2"/>
        <scheme val="minor"/>
      </rPr>
      <t>R</t>
    </r>
  </si>
  <si>
    <r>
      <t>VEG</t>
    </r>
    <r>
      <rPr>
        <b/>
        <vertAlign val="subscript"/>
        <sz val="11"/>
        <rFont val="Calibri"/>
        <family val="2"/>
        <scheme val="minor"/>
      </rPr>
      <t>R</t>
    </r>
  </si>
  <si>
    <r>
      <t>VRD</t>
    </r>
    <r>
      <rPr>
        <b/>
        <vertAlign val="subscript"/>
        <sz val="11"/>
        <rFont val="Calibri"/>
        <family val="2"/>
        <scheme val="minor"/>
      </rPr>
      <t>R</t>
    </r>
  </si>
  <si>
    <r>
      <t>VRC</t>
    </r>
    <r>
      <rPr>
        <b/>
        <vertAlign val="subscript"/>
        <sz val="11"/>
        <rFont val="Calibri"/>
        <family val="2"/>
        <scheme val="minor"/>
      </rPr>
      <t>R</t>
    </r>
  </si>
  <si>
    <r>
      <t>RD$</t>
    </r>
    <r>
      <rPr>
        <b/>
        <vertAlign val="subscript"/>
        <sz val="11"/>
        <rFont val="Calibri"/>
        <family val="2"/>
        <scheme val="minor"/>
      </rPr>
      <t>R</t>
    </r>
  </si>
  <si>
    <r>
      <t>RC$</t>
    </r>
    <r>
      <rPr>
        <b/>
        <vertAlign val="subscript"/>
        <sz val="11"/>
        <rFont val="Calibri"/>
        <family val="2"/>
        <scheme val="minor"/>
      </rPr>
      <t>R</t>
    </r>
  </si>
  <si>
    <r>
      <t>OSL</t>
    </r>
    <r>
      <rPr>
        <b/>
        <vertAlign val="subscript"/>
        <sz val="11"/>
        <color indexed="8"/>
        <rFont val="Calibri"/>
        <family val="2"/>
        <scheme val="minor"/>
      </rPr>
      <t>R,U</t>
    </r>
  </si>
  <si>
    <r>
      <t>OSL</t>
    </r>
    <r>
      <rPr>
        <b/>
        <vertAlign val="subscript"/>
        <sz val="11"/>
        <color indexed="8"/>
        <rFont val="Calibri"/>
        <family val="2"/>
        <scheme val="minor"/>
      </rPr>
      <t>R,I</t>
    </r>
  </si>
  <si>
    <t>These parameters reflect values entered in worksheet RegionalData</t>
  </si>
  <si>
    <t>This calculator can be used to simulate the MCL , OSL and PM values with different input values. It can be used to assist participants in managing their prudential requirements, including the management of reallocation requests.</t>
  </si>
  <si>
    <t>MCL, OSL and PM values calculated are not rounded. However the Credit Limits Procedure defines rounding, and AEMO applies this as part of it's review.</t>
  </si>
  <si>
    <t>The values in this calculator have been amended for the carbon price adjustment.</t>
  </si>
  <si>
    <t>Estimated load</t>
  </si>
  <si>
    <t>Estimated generation</t>
  </si>
  <si>
    <t>Average daily regional load</t>
  </si>
  <si>
    <t>Average regional price</t>
  </si>
  <si>
    <t>Regional load weighted price</t>
  </si>
  <si>
    <t>Outstandings limit volatility factor</t>
  </si>
  <si>
    <t>Prudential margin volatility factor</t>
  </si>
  <si>
    <r>
      <t>Swap price (debit) (PDS</t>
    </r>
    <r>
      <rPr>
        <vertAlign val="subscript"/>
        <sz val="11"/>
        <color theme="1"/>
        <rFont val="Calibri"/>
        <family val="2"/>
      </rPr>
      <t>R</t>
    </r>
    <r>
      <rPr>
        <sz val="11"/>
        <color theme="1"/>
        <rFont val="Calibri"/>
        <family val="2"/>
      </rPr>
      <t>)</t>
    </r>
  </si>
  <si>
    <r>
      <t>Swap price (credit) (PCS</t>
    </r>
    <r>
      <rPr>
        <vertAlign val="subscript"/>
        <sz val="11"/>
        <color theme="1"/>
        <rFont val="Calibri"/>
        <family val="2"/>
      </rPr>
      <t>R</t>
    </r>
    <r>
      <rPr>
        <sz val="11"/>
        <color theme="1"/>
        <rFont val="Calibri"/>
        <family val="2"/>
      </rPr>
      <t>)</t>
    </r>
  </si>
  <si>
    <t>Template created (used in the orginal web publish)</t>
  </si>
  <si>
    <r>
      <t>- MCL
    • Cell M9: Change wording
    • Cell A44: Add notes and disclaimer
    • Cell M26/N26/O26/P26/Q26: Correct VRD</t>
    </r>
    <r>
      <rPr>
        <vertAlign val="subscript"/>
        <sz val="11"/>
        <color theme="1"/>
        <rFont val="Calibri"/>
        <family val="2"/>
      </rPr>
      <t>R</t>
    </r>
    <r>
      <rPr>
        <sz val="11"/>
        <color theme="1"/>
        <rFont val="Calibri"/>
        <family val="2"/>
      </rPr>
      <t xml:space="preserve"> formula to include cap 200 and 300 in the sum function
    • Cell A2: Parameterise season and year in the page header
- Regional Data
    • Cell D5: Change name to “Average Daily Regional Load”
    • Cell D6: Change name to “Average Regional Price”
    • Cell D11: Change name</t>
    </r>
    <r>
      <rPr>
        <b/>
        <sz val="11"/>
        <color theme="1"/>
        <rFont val="Calibri"/>
        <family val="2"/>
      </rPr>
      <t xml:space="preserve"> </t>
    </r>
    <r>
      <rPr>
        <sz val="11"/>
        <color theme="1"/>
        <rFont val="Calibri"/>
        <family val="2"/>
      </rPr>
      <t>to “Outstandings Limit Volatility Factor”
- Participant Data
    • Cell E7: Change name to “Estimated load” (applied same change for all regions)
    • Cell E14: Change name to “Estimated generation” (applied same change for all regions)
    • Cell D22 and D23: Add subscript "R" to parameters PDS and PCS (applied same change for all regions)
    • Cell I7: Round value to 0 decimal place (applied same change for all regions)
    • Cell N17/N20/N23: Correct LWPR</t>
    </r>
    <r>
      <rPr>
        <vertAlign val="subscript"/>
        <sz val="11"/>
        <color theme="1"/>
        <rFont val="Calibri"/>
        <family val="2"/>
      </rPr>
      <t>R,R,C</t>
    </r>
    <r>
      <rPr>
        <sz val="11"/>
        <color theme="1"/>
        <rFont val="Calibri"/>
        <family val="2"/>
      </rPr>
      <t xml:space="preserve"> fomula to use NSW_RLWPC instead of NSW_RLWP (applied same change for all regions)
    • Cell M13: Correct parameter name to PRWP</t>
    </r>
    <r>
      <rPr>
        <vertAlign val="subscript"/>
        <sz val="11"/>
        <color theme="1"/>
        <rFont val="Calibri"/>
        <family val="2"/>
      </rPr>
      <t>R</t>
    </r>
    <r>
      <rPr>
        <sz val="11"/>
        <color theme="1"/>
        <rFont val="Calibri"/>
        <family val="2"/>
      </rPr>
      <t xml:space="preserve">  (applied same change for all regions)
    • Cell M16/M19/M22: Correct parameter names to PLWP</t>
    </r>
    <r>
      <rPr>
        <vertAlign val="subscript"/>
        <sz val="11"/>
        <color theme="1"/>
        <rFont val="Calibri"/>
        <family val="2"/>
      </rPr>
      <t>R,c</t>
    </r>
    <r>
      <rPr>
        <sz val="11"/>
        <color theme="1"/>
        <rFont val="Calibri"/>
        <family val="2"/>
      </rPr>
      <t xml:space="preserve">  (applied same change for all regions)
    • Cell L8/L11: Apply load and generation PRAF default values (PRAF</t>
    </r>
    <r>
      <rPr>
        <vertAlign val="subscript"/>
        <sz val="11"/>
        <color theme="1"/>
        <rFont val="Calibri"/>
        <family val="2"/>
      </rPr>
      <t>L,R</t>
    </r>
    <r>
      <rPr>
        <sz val="11"/>
        <color theme="1"/>
        <rFont val="Calibri"/>
        <family val="2"/>
      </rPr>
      <t>=1.05 and PRAF</t>
    </r>
    <r>
      <rPr>
        <vertAlign val="subscript"/>
        <sz val="11"/>
        <color theme="1"/>
        <rFont val="Calibri"/>
        <family val="2"/>
      </rPr>
      <t>G,R</t>
    </r>
    <r>
      <rPr>
        <sz val="11"/>
        <color theme="1"/>
        <rFont val="Calibri"/>
        <family val="2"/>
      </rPr>
      <t>=0.95) when EL</t>
    </r>
    <r>
      <rPr>
        <vertAlign val="subscript"/>
        <sz val="11"/>
        <color theme="1"/>
        <rFont val="Calibri"/>
        <family val="2"/>
      </rPr>
      <t>HH,M,R</t>
    </r>
    <r>
      <rPr>
        <sz val="11"/>
        <color theme="1"/>
        <rFont val="Calibri"/>
        <family val="2"/>
      </rPr>
      <t xml:space="preserve"> is not provided (applied same change for all regions)
    • Row L/M/N: Round values to 2 decimal places (applied same change for all regions)
    • Remove collapsing function for regions due to the function is not supported in a protected sheet by Excel
- Used in calculators:
    • 2014 Summer
    • 2014 Winter
    • 2014 Shoulder</t>
    </r>
  </si>
  <si>
    <t>Allow participants to override the formula for PRAF with a value, giving them a warning
- Used in calculators:
    • 2014 Summer
    • 2014 Winter
    • 2014 Shoulder
    • 2014 Shoulder (Draft - CarbonPriceRepeal)</t>
  </si>
  <si>
    <t>Regional data [SHOULDER]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</si>
</sst>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x14ac:knownFonts="1">
    <font>
      <sz val="11"/>
      <color theme="1"/>
      <name val="Calibri"/>
      <family val="2"/>
    </font>
    <font>
      <b/>
      <vertAlign val="subscript"/>
      <sz val="10"/>
      <name val="Arial"/>
      <family val="2"/>
    </font>
    <font>
      <b/>
      <vertAlign val="subscript"/>
      <sz val="12"/>
      <color indexed="8"/>
      <name val="Calibri"/>
      <family val="2"/>
    </font>
    <font>
      <b/>
      <vertAlign val="subscript"/>
      <sz val="11"/>
      <color indexed="8"/>
      <name val="Calibri"/>
      <family val="2"/>
    </font>
    <font>
      <b/>
      <sz val="12"/>
      <color indexed="8"/>
      <name val="Calibri"/>
      <family val="2"/>
    </font>
    <font>
      <b/>
      <vertAlign val="subscript"/>
      <sz val="11"/>
      <color indexed="63"/>
      <name val="Arial"/>
      <family val="2"/>
    </font>
    <font>
      <b/>
      <vertAlign val="subscript"/>
      <sz val="18"/>
      <color indexed="8"/>
      <name val="Calibri"/>
      <family val="2"/>
    </font>
    <font>
      <b/>
      <sz val="12"/>
      <color indexed="8"/>
      <name val="Arial"/>
      <family val="2"/>
    </font>
    <font>
      <vertAlign val="subscript"/>
      <sz val="11"/>
      <color indexed="63"/>
      <name val="Arial"/>
      <family val="2"/>
    </font>
    <font>
      <b/>
      <vertAlign val="subscript"/>
      <sz val="11"/>
      <name val="Arial"/>
      <family val="2"/>
    </font>
    <font>
      <sz val="11"/>
      <color theme="1"/>
      <name val="Calibri"/>
      <family val="2"/>
    </font>
    <font>
      <b/>
      <sz val="11"/>
      <color rgb="FF3F3F3F"/>
      <name val="Arial"/>
      <family val="2"/>
    </font>
    <font>
      <b/>
      <sz val="11"/>
      <color theme="1"/>
      <name val="Arial"/>
      <family val="2"/>
    </font>
    <font>
      <b/>
      <sz val="12"/>
      <color theme="1"/>
      <name val="Calibri"/>
      <family val="2"/>
    </font>
    <font>
      <i/>
      <sz val="11"/>
      <color theme="8" tint="-0.249977111117893"/>
      <name val="Calibri"/>
      <family val="2"/>
    </font>
    <font>
      <b/>
      <sz val="11"/>
      <color theme="1"/>
      <name val="Calibri"/>
      <family val="2"/>
    </font>
    <font>
      <b/>
      <sz val="11"/>
      <color theme="0"/>
      <name val="Calibri"/>
      <family val="2"/>
    </font>
    <font>
      <b/>
      <sz val="14"/>
      <color theme="0"/>
      <name val="Calibri"/>
      <family val="2"/>
    </font>
    <font>
      <sz val="20"/>
      <color theme="1"/>
      <name val="Calibri"/>
      <family val="2"/>
    </font>
    <font>
      <b/>
      <sz val="16"/>
      <color theme="1"/>
      <name val="Calibri"/>
      <family val="2"/>
    </font>
    <font>
      <b/>
      <sz val="20"/>
      <color theme="0"/>
      <name val="Calibri"/>
      <family val="2"/>
    </font>
    <font>
      <b/>
      <sz val="20"/>
      <color theme="1"/>
      <name val="Calibri"/>
      <family val="2"/>
    </font>
    <font>
      <sz val="12"/>
      <color theme="1"/>
      <name val="Calibri"/>
      <family val="2"/>
    </font>
    <font>
      <b/>
      <sz val="24"/>
      <color theme="1"/>
      <name val="Calibri"/>
      <family val="2"/>
    </font>
    <font>
      <b/>
      <sz val="26"/>
      <color theme="1"/>
      <name val="Calibri"/>
      <family val="2"/>
    </font>
    <font>
      <sz val="10"/>
      <color theme="1"/>
      <name val="Calibri"/>
      <family val="2"/>
    </font>
    <font>
      <b/>
      <sz val="28"/>
      <color theme="1"/>
      <name val="Calibri"/>
      <family val="2"/>
    </font>
    <font>
      <b/>
      <sz val="24"/>
      <color theme="0"/>
      <name val="Calibri"/>
      <family val="2"/>
    </font>
    <font>
      <b/>
      <sz val="18"/>
      <color theme="1"/>
      <name val="Calibri"/>
      <family val="2"/>
    </font>
    <font>
      <b/>
      <sz val="48"/>
      <color theme="1"/>
      <name val="Calibri"/>
      <family val="2"/>
    </font>
    <font>
      <b/>
      <i/>
      <sz val="11"/>
      <color theme="8" tint="-0.249977111117893"/>
      <name val="Calibri"/>
      <family val="2"/>
    </font>
    <font>
      <b/>
      <i/>
      <sz val="12"/>
      <color theme="8" tint="-0.249977111117893"/>
      <name val="Calibri"/>
      <family val="2"/>
    </font>
    <font>
      <u/>
      <sz val="11"/>
      <color theme="10"/>
      <name val="Calibri"/>
      <family val="2"/>
    </font>
    <font>
      <b/>
      <sz val="10"/>
      <color theme="1"/>
      <name val="Calibri"/>
      <family val="2"/>
    </font>
    <font>
      <u/>
      <sz val="18"/>
      <color theme="10"/>
      <name val="Calibri"/>
      <family val="2"/>
    </font>
    <font>
      <sz val="11"/>
      <color theme="1"/>
      <name val="Calibri"/>
      <family val="2"/>
      <scheme val="minor"/>
    </font>
    <font>
      <b/>
      <sz val="11"/>
      <color theme="1"/>
      <name val="Calibri"/>
      <family val="2"/>
      <scheme val="minor"/>
    </font>
    <font>
      <b/>
      <vertAlign val="subscript"/>
      <sz val="11"/>
      <name val="Calibri"/>
      <family val="2"/>
      <scheme val="minor"/>
    </font>
    <font>
      <b/>
      <vertAlign val="subscript"/>
      <sz val="11"/>
      <color indexed="8"/>
      <name val="Calibri"/>
      <family val="2"/>
      <scheme val="minor"/>
    </font>
    <font>
      <vertAlign val="subscript"/>
      <sz val="11"/>
      <color theme="1"/>
      <name val="Calibri"/>
      <family val="2"/>
    </font>
  </fonts>
  <fills count="11">
    <fill>
      <patternFill patternType="none"/>
    </fill>
    <fill>
      <patternFill patternType="gray125"/>
    </fill>
    <fill>
      <patternFill patternType="solid">
        <fgColor rgb="FFF2F2F2"/>
      </patternFill>
    </fill>
    <fill>
      <patternFill patternType="solid">
        <fgColor rgb="FFFFFFCC"/>
      </patternFill>
    </fill>
    <fill>
      <patternFill patternType="solid">
        <fgColor theme="8" tint="0.59996337778862885"/>
        <bgColor indexed="64"/>
      </patternFill>
    </fill>
    <fill>
      <patternFill patternType="solid">
        <fgColor theme="8"/>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59996337778862885"/>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style="medium">
        <color indexed="64"/>
      </top>
      <bottom style="thin">
        <color rgb="FF3F3F3F"/>
      </bottom>
      <diagonal/>
    </border>
    <border>
      <left style="thin">
        <color rgb="FF3F3F3F"/>
      </left>
      <right style="thin">
        <color rgb="FF3F3F3F"/>
      </right>
      <top style="thin">
        <color rgb="FF3F3F3F"/>
      </top>
      <bottom style="medium">
        <color indexed="64"/>
      </bottom>
      <diagonal/>
    </border>
    <border>
      <left style="thin">
        <color rgb="FF3F3F3F"/>
      </left>
      <right style="hair">
        <color rgb="FF3F3F3F"/>
      </right>
      <top style="medium">
        <color indexed="64"/>
      </top>
      <bottom style="hair">
        <color rgb="FF3F3F3F"/>
      </bottom>
      <diagonal/>
    </border>
    <border>
      <left style="hair">
        <color rgb="FF3F3F3F"/>
      </left>
      <right style="hair">
        <color rgb="FF3F3F3F"/>
      </right>
      <top style="medium">
        <color indexed="64"/>
      </top>
      <bottom style="hair">
        <color rgb="FF3F3F3F"/>
      </bottom>
      <diagonal/>
    </border>
    <border>
      <left style="hair">
        <color rgb="FF3F3F3F"/>
      </left>
      <right style="medium">
        <color indexed="64"/>
      </right>
      <top style="medium">
        <color indexed="64"/>
      </top>
      <bottom style="hair">
        <color rgb="FF3F3F3F"/>
      </bottom>
      <diagonal/>
    </border>
    <border>
      <left style="thin">
        <color rgb="FF3F3F3F"/>
      </left>
      <right style="hair">
        <color rgb="FF3F3F3F"/>
      </right>
      <top style="hair">
        <color rgb="FF3F3F3F"/>
      </top>
      <bottom style="hair">
        <color rgb="FF3F3F3F"/>
      </bottom>
      <diagonal/>
    </border>
    <border>
      <left style="hair">
        <color rgb="FF3F3F3F"/>
      </left>
      <right style="hair">
        <color rgb="FF3F3F3F"/>
      </right>
      <top style="hair">
        <color rgb="FF3F3F3F"/>
      </top>
      <bottom style="hair">
        <color rgb="FF3F3F3F"/>
      </bottom>
      <diagonal/>
    </border>
    <border>
      <left style="hair">
        <color rgb="FF3F3F3F"/>
      </left>
      <right style="medium">
        <color indexed="64"/>
      </right>
      <top style="hair">
        <color rgb="FF3F3F3F"/>
      </top>
      <bottom style="hair">
        <color rgb="FF3F3F3F"/>
      </bottom>
      <diagonal/>
    </border>
    <border>
      <left style="thin">
        <color rgb="FF3F3F3F"/>
      </left>
      <right style="hair">
        <color rgb="FF3F3F3F"/>
      </right>
      <top style="hair">
        <color rgb="FF3F3F3F"/>
      </top>
      <bottom style="medium">
        <color indexed="64"/>
      </bottom>
      <diagonal/>
    </border>
    <border>
      <left style="hair">
        <color rgb="FF3F3F3F"/>
      </left>
      <right style="hair">
        <color rgb="FF3F3F3F"/>
      </right>
      <top style="hair">
        <color rgb="FF3F3F3F"/>
      </top>
      <bottom style="medium">
        <color indexed="64"/>
      </bottom>
      <diagonal/>
    </border>
    <border>
      <left style="hair">
        <color rgb="FF3F3F3F"/>
      </left>
      <right style="medium">
        <color indexed="64"/>
      </right>
      <top style="hair">
        <color rgb="FF3F3F3F"/>
      </top>
      <bottom style="medium">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medium">
        <color indexed="64"/>
      </left>
      <right style="thin">
        <color rgb="FF3F3F3F"/>
      </right>
      <top style="medium">
        <color indexed="64"/>
      </top>
      <bottom/>
      <diagonal/>
    </border>
    <border>
      <left style="medium">
        <color indexed="64"/>
      </left>
      <right style="thin">
        <color rgb="FF3F3F3F"/>
      </right>
      <top/>
      <bottom/>
      <diagonal/>
    </border>
    <border>
      <left style="medium">
        <color indexed="64"/>
      </left>
      <right style="thin">
        <color rgb="FF3F3F3F"/>
      </right>
      <top/>
      <bottom style="medium">
        <color indexed="64"/>
      </bottom>
      <diagonal/>
    </border>
    <border>
      <left/>
      <right style="thin">
        <color rgb="FF3F3F3F"/>
      </right>
      <top/>
      <bottom style="medium">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s>
  <cellStyleXfs count="5">
    <xf numFmtId="0" fontId="0" fillId="0" borderId="0"/>
    <xf numFmtId="0" fontId="10" fillId="0" borderId="0"/>
    <xf numFmtId="0" fontId="11" fillId="2" borderId="18" applyNumberFormat="0" applyAlignment="0" applyProtection="0"/>
    <xf numFmtId="9" fontId="10" fillId="0" borderId="0" applyFont="0" applyFill="0" applyBorder="0" applyAlignment="0" applyProtection="0"/>
    <xf numFmtId="0" fontId="32" fillId="0" borderId="0" applyNumberFormat="0" applyFill="0" applyBorder="0" applyAlignment="0" applyProtection="0"/>
  </cellStyleXfs>
  <cellXfs count="200">
    <xf numFmtId="0" fontId="0" fillId="0" borderId="0" xfId="0"/>
    <xf numFmtId="0" fontId="0" fillId="0" borderId="0" xfId="0" applyFill="1"/>
    <xf numFmtId="0" fontId="0" fillId="0" borderId="0" xfId="0" applyAlignment="1"/>
    <xf numFmtId="0" fontId="0" fillId="0" borderId="0" xfId="0" applyAlignment="1">
      <alignment vertical="center"/>
    </xf>
    <xf numFmtId="3" fontId="0" fillId="0" borderId="1" xfId="0" applyNumberFormat="1" applyBorder="1"/>
    <xf numFmtId="3" fontId="0" fillId="0" borderId="2" xfId="0" applyNumberFormat="1" applyBorder="1"/>
    <xf numFmtId="3" fontId="0" fillId="0" borderId="3" xfId="0" applyNumberFormat="1" applyBorder="1"/>
    <xf numFmtId="3" fontId="0" fillId="0" borderId="0" xfId="0" applyNumberFormat="1" applyBorder="1"/>
    <xf numFmtId="4" fontId="0" fillId="0" borderId="0" xfId="0" applyNumberFormat="1" applyBorder="1"/>
    <xf numFmtId="3" fontId="0" fillId="0" borderId="4" xfId="0" applyNumberFormat="1" applyBorder="1"/>
    <xf numFmtId="3" fontId="13" fillId="4" borderId="1" xfId="0" applyNumberFormat="1" applyFont="1" applyFill="1" applyBorder="1"/>
    <xf numFmtId="3" fontId="13" fillId="4" borderId="2" xfId="0" applyNumberFormat="1" applyFont="1" applyFill="1" applyBorder="1"/>
    <xf numFmtId="3" fontId="13" fillId="4" borderId="5" xfId="0" applyNumberFormat="1" applyFont="1" applyFill="1" applyBorder="1"/>
    <xf numFmtId="3" fontId="13" fillId="4" borderId="6" xfId="0" applyNumberFormat="1" applyFont="1" applyFill="1" applyBorder="1"/>
    <xf numFmtId="3" fontId="13" fillId="4" borderId="7" xfId="0" applyNumberFormat="1" applyFont="1" applyFill="1" applyBorder="1"/>
    <xf numFmtId="3" fontId="13" fillId="4" borderId="8" xfId="0" applyNumberFormat="1" applyFont="1" applyFill="1" applyBorder="1"/>
    <xf numFmtId="3" fontId="13" fillId="4" borderId="3" xfId="0" applyNumberFormat="1" applyFont="1" applyFill="1" applyBorder="1"/>
    <xf numFmtId="3" fontId="13" fillId="4" borderId="0" xfId="0" applyNumberFormat="1" applyFont="1" applyFill="1" applyBorder="1"/>
    <xf numFmtId="3" fontId="13" fillId="4" borderId="9" xfId="0" applyNumberFormat="1" applyFont="1" applyFill="1" applyBorder="1"/>
    <xf numFmtId="3" fontId="13" fillId="4" borderId="10" xfId="0" applyNumberFormat="1" applyFont="1" applyFill="1" applyBorder="1"/>
    <xf numFmtId="3" fontId="13" fillId="4" borderId="4" xfId="0" applyNumberFormat="1" applyFont="1" applyFill="1" applyBorder="1"/>
    <xf numFmtId="3" fontId="13" fillId="4" borderId="11" xfId="0" applyNumberFormat="1" applyFont="1" applyFill="1" applyBorder="1"/>
    <xf numFmtId="2" fontId="13" fillId="0" borderId="1" xfId="0" applyNumberFormat="1" applyFont="1" applyFill="1" applyBorder="1"/>
    <xf numFmtId="2" fontId="13" fillId="0" borderId="2" xfId="0" applyNumberFormat="1" applyFont="1" applyFill="1" applyBorder="1"/>
    <xf numFmtId="2" fontId="13" fillId="0" borderId="5" xfId="0" applyNumberFormat="1" applyFont="1" applyFill="1" applyBorder="1"/>
    <xf numFmtId="4" fontId="0" fillId="0" borderId="0" xfId="0" applyNumberFormat="1" applyFill="1" applyBorder="1"/>
    <xf numFmtId="0" fontId="14" fillId="0" borderId="0" xfId="0" applyFont="1" applyAlignment="1">
      <alignment vertical="center"/>
    </xf>
    <xf numFmtId="0" fontId="0" fillId="0" borderId="0" xfId="0" applyAlignment="1">
      <alignment horizontal="right"/>
    </xf>
    <xf numFmtId="0" fontId="0" fillId="0" borderId="3" xfId="0" applyBorder="1"/>
    <xf numFmtId="0" fontId="0" fillId="0" borderId="9" xfId="0" applyBorder="1"/>
    <xf numFmtId="0" fontId="0" fillId="0" borderId="3" xfId="0" applyBorder="1" applyAlignment="1">
      <alignment horizontal="right"/>
    </xf>
    <xf numFmtId="0" fontId="15" fillId="0" borderId="3" xfId="0" applyFont="1" applyBorder="1" applyAlignment="1"/>
    <xf numFmtId="0" fontId="0" fillId="0" borderId="0" xfId="0" applyBorder="1"/>
    <xf numFmtId="0" fontId="0" fillId="0" borderId="10" xfId="0" applyBorder="1"/>
    <xf numFmtId="0" fontId="0" fillId="0" borderId="4" xfId="0" applyBorder="1"/>
    <xf numFmtId="0" fontId="0" fillId="0" borderId="11" xfId="0" applyBorder="1"/>
    <xf numFmtId="0" fontId="0" fillId="0" borderId="7" xfId="0" applyBorder="1" applyAlignment="1">
      <alignment horizontal="center"/>
    </xf>
    <xf numFmtId="0" fontId="0" fillId="0" borderId="7" xfId="0" applyBorder="1" applyAlignment="1"/>
    <xf numFmtId="0" fontId="0" fillId="0" borderId="8" xfId="0" applyBorder="1" applyAlignment="1"/>
    <xf numFmtId="0" fontId="0" fillId="0" borderId="6" xfId="0" applyBorder="1"/>
    <xf numFmtId="0" fontId="0" fillId="0" borderId="8" xfId="0" applyBorder="1"/>
    <xf numFmtId="0" fontId="0" fillId="0" borderId="0" xfId="0" applyBorder="1" applyAlignment="1">
      <alignment horizontal="right"/>
    </xf>
    <xf numFmtId="0" fontId="16" fillId="0" borderId="3" xfId="0" applyFont="1" applyFill="1" applyBorder="1"/>
    <xf numFmtId="0" fontId="17" fillId="0" borderId="0" xfId="0" applyFont="1" applyFill="1" applyBorder="1" applyAlignment="1">
      <alignment horizontal="centerContinuous"/>
    </xf>
    <xf numFmtId="0" fontId="16" fillId="0" borderId="0" xfId="0" applyFont="1" applyFill="1" applyBorder="1" applyAlignment="1">
      <alignment horizontal="centerContinuous"/>
    </xf>
    <xf numFmtId="0" fontId="16" fillId="0" borderId="9" xfId="0" applyFont="1" applyFill="1" applyBorder="1"/>
    <xf numFmtId="0" fontId="0" fillId="0" borderId="0" xfId="0" applyBorder="1" applyAlignment="1">
      <alignment horizontal="center"/>
    </xf>
    <xf numFmtId="0" fontId="15" fillId="0" borderId="0" xfId="0" applyFont="1" applyBorder="1" applyAlignment="1">
      <alignment horizontal="right"/>
    </xf>
    <xf numFmtId="0" fontId="18" fillId="0" borderId="0" xfId="0" applyFont="1"/>
    <xf numFmtId="0" fontId="0" fillId="0" borderId="0" xfId="0" applyAlignment="1">
      <alignment horizontal="center"/>
    </xf>
    <xf numFmtId="0" fontId="0" fillId="0" borderId="7" xfId="0" applyBorder="1"/>
    <xf numFmtId="3" fontId="18" fillId="0" borderId="0" xfId="0" applyNumberFormat="1" applyFont="1" applyBorder="1"/>
    <xf numFmtId="0" fontId="17" fillId="0" borderId="0" xfId="0" applyFont="1" applyFill="1" applyBorder="1" applyAlignment="1">
      <alignment horizontal="right"/>
    </xf>
    <xf numFmtId="0" fontId="15" fillId="0" borderId="4" xfId="0" applyFont="1" applyBorder="1" applyAlignment="1">
      <alignment horizontal="right"/>
    </xf>
    <xf numFmtId="0" fontId="19" fillId="0" borderId="7" xfId="0" applyFont="1" applyBorder="1" applyAlignment="1">
      <alignment horizontal="right"/>
    </xf>
    <xf numFmtId="0" fontId="0" fillId="0" borderId="4" xfId="0" applyBorder="1" applyAlignment="1">
      <alignment horizontal="right"/>
    </xf>
    <xf numFmtId="3" fontId="0" fillId="0" borderId="9" xfId="0" applyNumberFormat="1" applyBorder="1"/>
    <xf numFmtId="0" fontId="15" fillId="0" borderId="1" xfId="0" applyFont="1" applyBorder="1" applyAlignment="1">
      <alignment horizontal="centerContinuous"/>
    </xf>
    <xf numFmtId="3" fontId="0" fillId="0" borderId="2" xfId="0" applyNumberFormat="1" applyBorder="1" applyAlignment="1">
      <alignment horizontal="centerContinuous"/>
    </xf>
    <xf numFmtId="3" fontId="0" fillId="0" borderId="5" xfId="0" applyNumberFormat="1" applyBorder="1" applyAlignment="1">
      <alignment horizontal="centerContinuous"/>
    </xf>
    <xf numFmtId="3" fontId="20" fillId="5" borderId="12" xfId="0" applyNumberFormat="1" applyFont="1" applyFill="1" applyBorder="1"/>
    <xf numFmtId="0" fontId="21" fillId="0" borderId="0" xfId="0" applyFont="1" applyBorder="1" applyAlignment="1">
      <alignment horizontal="center"/>
    </xf>
    <xf numFmtId="0" fontId="20" fillId="5" borderId="1" xfId="0" applyFont="1" applyFill="1" applyBorder="1"/>
    <xf numFmtId="0" fontId="20" fillId="5" borderId="2" xfId="0" applyFont="1" applyFill="1" applyBorder="1" applyAlignment="1">
      <alignment horizontal="centerContinuous"/>
    </xf>
    <xf numFmtId="0" fontId="20" fillId="5" borderId="5" xfId="0" applyFont="1" applyFill="1" applyBorder="1"/>
    <xf numFmtId="0" fontId="15" fillId="0" borderId="0" xfId="0" applyFont="1" applyBorder="1" applyAlignment="1">
      <alignment horizontal="center"/>
    </xf>
    <xf numFmtId="0" fontId="13" fillId="0" borderId="0" xfId="0" applyFont="1" applyAlignment="1">
      <alignment horizontal="right"/>
    </xf>
    <xf numFmtId="0" fontId="13" fillId="0" borderId="0" xfId="0" applyFont="1" applyAlignment="1"/>
    <xf numFmtId="0" fontId="0" fillId="0" borderId="6" xfId="0" applyBorder="1" applyAlignment="1">
      <alignment horizontal="right"/>
    </xf>
    <xf numFmtId="0" fontId="0" fillId="0" borderId="7" xfId="0" applyBorder="1" applyAlignment="1">
      <alignment horizontal="right"/>
    </xf>
    <xf numFmtId="0" fontId="13" fillId="0" borderId="0" xfId="0" applyFont="1" applyBorder="1" applyAlignment="1">
      <alignment horizontal="left"/>
    </xf>
    <xf numFmtId="0" fontId="13" fillId="0" borderId="0"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0" fontId="13" fillId="0" borderId="0" xfId="0" applyFont="1" applyBorder="1" applyAlignment="1"/>
    <xf numFmtId="0" fontId="13" fillId="0" borderId="3" xfId="0" applyFont="1" applyBorder="1" applyAlignment="1">
      <alignment horizontal="right"/>
    </xf>
    <xf numFmtId="0" fontId="11" fillId="2" borderId="18" xfId="2" applyBorder="1" applyAlignment="1">
      <alignment horizontal="center"/>
    </xf>
    <xf numFmtId="0" fontId="0" fillId="6" borderId="0" xfId="0" applyFill="1" applyBorder="1" applyAlignment="1">
      <alignment horizontal="right"/>
    </xf>
    <xf numFmtId="0" fontId="0" fillId="0" borderId="11" xfId="0" applyBorder="1" applyAlignment="1">
      <alignment horizontal="right"/>
    </xf>
    <xf numFmtId="2" fontId="13" fillId="0" borderId="0" xfId="0" applyNumberFormat="1" applyFont="1" applyAlignment="1"/>
    <xf numFmtId="0" fontId="0" fillId="0" borderId="9" xfId="0" applyBorder="1" applyAlignment="1"/>
    <xf numFmtId="0" fontId="0" fillId="0" borderId="0" xfId="0" applyBorder="1" applyAlignment="1"/>
    <xf numFmtId="0" fontId="13" fillId="7" borderId="12" xfId="0" applyFont="1" applyFill="1" applyBorder="1" applyAlignment="1">
      <alignment horizontal="center"/>
    </xf>
    <xf numFmtId="0" fontId="13" fillId="7" borderId="12" xfId="0" applyFont="1" applyFill="1" applyBorder="1" applyAlignment="1">
      <alignment horizontal="right"/>
    </xf>
    <xf numFmtId="2" fontId="22" fillId="0" borderId="12" xfId="0" applyNumberFormat="1" applyFont="1" applyBorder="1" applyAlignment="1"/>
    <xf numFmtId="0" fontId="0" fillId="0" borderId="0" xfId="0" applyFont="1" applyBorder="1" applyAlignment="1"/>
    <xf numFmtId="0" fontId="0" fillId="0" borderId="4" xfId="0" applyBorder="1" applyAlignment="1"/>
    <xf numFmtId="0" fontId="0" fillId="0" borderId="11" xfId="0" applyBorder="1" applyAlignment="1"/>
    <xf numFmtId="0" fontId="11" fillId="2" borderId="19" xfId="2" applyBorder="1" applyAlignment="1">
      <alignment horizontal="center"/>
    </xf>
    <xf numFmtId="0" fontId="11" fillId="2" borderId="20" xfId="2" applyBorder="1" applyAlignment="1">
      <alignment horizontal="center"/>
    </xf>
    <xf numFmtId="0" fontId="11" fillId="2" borderId="21" xfId="2" applyBorder="1" applyAlignment="1">
      <alignment horizontal="center"/>
    </xf>
    <xf numFmtId="3" fontId="0" fillId="0" borderId="22" xfId="0" applyNumberFormat="1" applyBorder="1"/>
    <xf numFmtId="3" fontId="0" fillId="0" borderId="23" xfId="0" applyNumberFormat="1" applyBorder="1"/>
    <xf numFmtId="3" fontId="0" fillId="0" borderId="24" xfId="0" applyNumberFormat="1" applyBorder="1"/>
    <xf numFmtId="3" fontId="0" fillId="0" borderId="25" xfId="0" applyNumberFormat="1" applyBorder="1"/>
    <xf numFmtId="3" fontId="0" fillId="0" borderId="26" xfId="0" applyNumberFormat="1" applyBorder="1"/>
    <xf numFmtId="3" fontId="0" fillId="0" borderId="27" xfId="0" applyNumberFormat="1" applyBorder="1"/>
    <xf numFmtId="3" fontId="0" fillId="0" borderId="28" xfId="0" applyNumberFormat="1" applyBorder="1"/>
    <xf numFmtId="3" fontId="0" fillId="0" borderId="29" xfId="0" applyNumberFormat="1" applyBorder="1"/>
    <xf numFmtId="3" fontId="0" fillId="0" borderId="30" xfId="0" applyNumberFormat="1" applyBorder="1"/>
    <xf numFmtId="4" fontId="0" fillId="0" borderId="22" xfId="0" applyNumberFormat="1" applyBorder="1"/>
    <xf numFmtId="4" fontId="0" fillId="0" borderId="23" xfId="0" applyNumberFormat="1" applyBorder="1"/>
    <xf numFmtId="4" fontId="0" fillId="0" borderId="24" xfId="0" applyNumberFormat="1" applyBorder="1"/>
    <xf numFmtId="4" fontId="0" fillId="0" borderId="25" xfId="0" applyNumberFormat="1" applyBorder="1"/>
    <xf numFmtId="4" fontId="0" fillId="0" borderId="26" xfId="0" applyNumberFormat="1" applyBorder="1"/>
    <xf numFmtId="4" fontId="0" fillId="0" borderId="27" xfId="0" applyNumberFormat="1" applyBorder="1"/>
    <xf numFmtId="4" fontId="0" fillId="0" borderId="28" xfId="0" applyNumberFormat="1" applyBorder="1"/>
    <xf numFmtId="4" fontId="0" fillId="0" borderId="29" xfId="0" applyNumberFormat="1" applyBorder="1"/>
    <xf numFmtId="4" fontId="0" fillId="0" borderId="30" xfId="0" applyNumberFormat="1" applyBorder="1"/>
    <xf numFmtId="2" fontId="13" fillId="0" borderId="6" xfId="0" applyNumberFormat="1" applyFont="1" applyFill="1" applyBorder="1"/>
    <xf numFmtId="2" fontId="13" fillId="0" borderId="7" xfId="0" applyNumberFormat="1" applyFont="1" applyFill="1" applyBorder="1"/>
    <xf numFmtId="2" fontId="13" fillId="0" borderId="8" xfId="0" applyNumberFormat="1" applyFont="1" applyFill="1" applyBorder="1"/>
    <xf numFmtId="0" fontId="0" fillId="0" borderId="0" xfId="0" applyFont="1" applyAlignment="1">
      <alignment horizontal="right"/>
    </xf>
    <xf numFmtId="0" fontId="0" fillId="0" borderId="12" xfId="0" applyFont="1" applyBorder="1" applyAlignment="1">
      <alignment horizontal="right"/>
    </xf>
    <xf numFmtId="2" fontId="0" fillId="0" borderId="31" xfId="0" applyNumberFormat="1" applyBorder="1" applyAlignment="1"/>
    <xf numFmtId="2" fontId="0" fillId="0" borderId="32" xfId="0" applyNumberFormat="1" applyBorder="1" applyAlignment="1"/>
    <xf numFmtId="2" fontId="0" fillId="0" borderId="33" xfId="0" applyNumberFormat="1" applyBorder="1" applyAlignment="1"/>
    <xf numFmtId="2" fontId="0" fillId="0" borderId="34" xfId="0" applyNumberFormat="1" applyBorder="1" applyAlignment="1"/>
    <xf numFmtId="2" fontId="0" fillId="0" borderId="35" xfId="0" applyNumberFormat="1" applyBorder="1" applyAlignment="1"/>
    <xf numFmtId="2" fontId="0" fillId="0" borderId="36" xfId="0" applyNumberFormat="1" applyBorder="1" applyAlignment="1"/>
    <xf numFmtId="3" fontId="0" fillId="0" borderId="5" xfId="0" applyNumberFormat="1" applyBorder="1"/>
    <xf numFmtId="0" fontId="0" fillId="0" borderId="4" xfId="0" applyBorder="1" applyAlignment="1">
      <alignment horizontal="center"/>
    </xf>
    <xf numFmtId="0" fontId="23" fillId="0" borderId="0" xfId="0" applyFont="1" applyBorder="1" applyAlignment="1"/>
    <xf numFmtId="0" fontId="23" fillId="0" borderId="0" xfId="0" applyFont="1" applyBorder="1" applyAlignment="1">
      <alignment horizontal="right"/>
    </xf>
    <xf numFmtId="0" fontId="21" fillId="0" borderId="0" xfId="0" applyFont="1" applyAlignment="1"/>
    <xf numFmtId="0" fontId="13" fillId="0" borderId="7" xfId="0" applyFont="1" applyBorder="1" applyAlignment="1">
      <alignment horizontal="left"/>
    </xf>
    <xf numFmtId="0" fontId="0" fillId="0" borderId="6" xfId="0" applyBorder="1" applyAlignment="1"/>
    <xf numFmtId="0" fontId="13" fillId="0" borderId="7" xfId="0" applyFont="1" applyBorder="1" applyAlignment="1"/>
    <xf numFmtId="0" fontId="0" fillId="0" borderId="7" xfId="0" quotePrefix="1" applyBorder="1" applyAlignment="1"/>
    <xf numFmtId="0" fontId="24" fillId="0" borderId="6" xfId="0" applyFont="1" applyFill="1" applyBorder="1" applyAlignment="1">
      <alignment horizontal="center"/>
    </xf>
    <xf numFmtId="0" fontId="0" fillId="0" borderId="10" xfId="0" applyBorder="1" applyAlignment="1">
      <alignment horizontal="right"/>
    </xf>
    <xf numFmtId="0" fontId="24" fillId="0" borderId="8" xfId="0" applyFont="1" applyFill="1" applyBorder="1" applyAlignment="1">
      <alignment horizontal="center"/>
    </xf>
    <xf numFmtId="0" fontId="0" fillId="0" borderId="9" xfId="0" applyBorder="1" applyAlignment="1">
      <alignment horizontal="right"/>
    </xf>
    <xf numFmtId="0" fontId="24" fillId="0" borderId="7" xfId="0" applyFont="1" applyFill="1" applyBorder="1" applyAlignment="1">
      <alignment horizontal="center"/>
    </xf>
    <xf numFmtId="0" fontId="14" fillId="0" borderId="0" xfId="0" applyFont="1" applyBorder="1" applyAlignment="1">
      <alignment vertical="center"/>
    </xf>
    <xf numFmtId="0" fontId="26" fillId="0" borderId="0" xfId="0" applyFont="1" applyAlignment="1"/>
    <xf numFmtId="0" fontId="0" fillId="0" borderId="0" xfId="0" applyFont="1"/>
    <xf numFmtId="0" fontId="11" fillId="2" borderId="19" xfId="2" applyFont="1" applyBorder="1" applyAlignment="1">
      <alignment horizontal="center"/>
    </xf>
    <xf numFmtId="0" fontId="15" fillId="7" borderId="12" xfId="0" applyFont="1" applyFill="1" applyBorder="1" applyAlignment="1">
      <alignment horizontal="right"/>
    </xf>
    <xf numFmtId="0" fontId="12" fillId="0" borderId="12" xfId="0" applyFont="1" applyBorder="1" applyAlignment="1">
      <alignment horizontal="center"/>
    </xf>
    <xf numFmtId="3" fontId="15" fillId="4" borderId="12" xfId="0" applyNumberFormat="1" applyFont="1" applyFill="1" applyBorder="1" applyAlignment="1">
      <alignment horizontal="center"/>
    </xf>
    <xf numFmtId="9" fontId="15" fillId="4" borderId="12" xfId="3" applyFont="1" applyFill="1" applyBorder="1" applyAlignment="1">
      <alignment horizontal="center"/>
    </xf>
    <xf numFmtId="0" fontId="22" fillId="0" borderId="0" xfId="0" applyFont="1" applyAlignment="1">
      <alignment horizontal="center"/>
    </xf>
    <xf numFmtId="0" fontId="0" fillId="0" borderId="0" xfId="0" applyAlignment="1">
      <alignment horizontal="left"/>
    </xf>
    <xf numFmtId="0" fontId="13" fillId="0" borderId="0" xfId="0" applyFont="1" applyAlignment="1">
      <alignment horizontal="right" vertical="center"/>
    </xf>
    <xf numFmtId="0" fontId="26" fillId="0" borderId="0" xfId="0" applyFont="1"/>
    <xf numFmtId="0" fontId="25" fillId="0" borderId="0" xfId="0" applyFont="1"/>
    <xf numFmtId="2" fontId="0" fillId="0" borderId="12" xfId="0" applyNumberFormat="1" applyFont="1" applyBorder="1" applyAlignment="1">
      <alignment horizontal="center"/>
    </xf>
    <xf numFmtId="4" fontId="30" fillId="9" borderId="1" xfId="0" applyNumberFormat="1" applyFont="1" applyFill="1" applyBorder="1" applyProtection="1">
      <protection locked="0"/>
    </xf>
    <xf numFmtId="4" fontId="30" fillId="9" borderId="2" xfId="0" applyNumberFormat="1" applyFont="1" applyFill="1" applyBorder="1" applyProtection="1">
      <protection locked="0"/>
    </xf>
    <xf numFmtId="4" fontId="30" fillId="9" borderId="5" xfId="0" applyNumberFormat="1" applyFont="1" applyFill="1" applyBorder="1" applyProtection="1">
      <protection locked="0"/>
    </xf>
    <xf numFmtId="2" fontId="31" fillId="10" borderId="6" xfId="0" applyNumberFormat="1" applyFont="1" applyFill="1" applyBorder="1" applyAlignment="1" applyProtection="1">
      <alignment vertical="center" wrapText="1"/>
      <protection locked="0"/>
    </xf>
    <xf numFmtId="2" fontId="31" fillId="10" borderId="7" xfId="0" applyNumberFormat="1" applyFont="1" applyFill="1" applyBorder="1" applyAlignment="1" applyProtection="1">
      <alignment vertical="center" wrapText="1"/>
      <protection locked="0"/>
    </xf>
    <xf numFmtId="2" fontId="31" fillId="10" borderId="8" xfId="0" applyNumberFormat="1" applyFont="1" applyFill="1" applyBorder="1" applyAlignment="1" applyProtection="1">
      <alignment vertical="center" wrapText="1"/>
      <protection locked="0"/>
    </xf>
    <xf numFmtId="2" fontId="31" fillId="10" borderId="10" xfId="0" applyNumberFormat="1" applyFont="1" applyFill="1" applyBorder="1" applyAlignment="1" applyProtection="1">
      <alignment vertical="center" wrapText="1"/>
      <protection locked="0"/>
    </xf>
    <xf numFmtId="2" fontId="31" fillId="10" borderId="4" xfId="0" applyNumberFormat="1" applyFont="1" applyFill="1" applyBorder="1" applyAlignment="1" applyProtection="1">
      <alignment vertical="center" wrapText="1"/>
      <protection locked="0"/>
    </xf>
    <xf numFmtId="2" fontId="31" fillId="10" borderId="11" xfId="0" applyNumberFormat="1" applyFont="1" applyFill="1" applyBorder="1" applyAlignment="1" applyProtection="1">
      <alignment vertical="center" wrapText="1"/>
      <protection locked="0"/>
    </xf>
    <xf numFmtId="164" fontId="25" fillId="9" borderId="12" xfId="0" applyNumberFormat="1" applyFont="1" applyFill="1" applyBorder="1" applyAlignment="1" applyProtection="1">
      <protection locked="0"/>
    </xf>
    <xf numFmtId="3" fontId="0" fillId="9" borderId="5" xfId="0" applyNumberFormat="1" applyFill="1" applyBorder="1" applyAlignment="1" applyProtection="1">
      <protection locked="0"/>
    </xf>
    <xf numFmtId="0" fontId="0" fillId="9" borderId="41" xfId="0" applyFill="1" applyBorder="1" applyAlignment="1" applyProtection="1">
      <protection locked="0"/>
    </xf>
    <xf numFmtId="0" fontId="0" fillId="9" borderId="42" xfId="0" applyFill="1" applyBorder="1" applyAlignment="1" applyProtection="1">
      <protection locked="0"/>
    </xf>
    <xf numFmtId="0" fontId="0" fillId="9" borderId="43" xfId="0" applyFill="1" applyBorder="1" applyAlignment="1" applyProtection="1">
      <protection locked="0"/>
    </xf>
    <xf numFmtId="2" fontId="0" fillId="9" borderId="31" xfId="0" applyNumberFormat="1" applyFill="1" applyBorder="1" applyAlignment="1" applyProtection="1">
      <protection locked="0"/>
    </xf>
    <xf numFmtId="2" fontId="0" fillId="9" borderId="32" xfId="0" applyNumberFormat="1" applyFill="1" applyBorder="1" applyAlignment="1" applyProtection="1">
      <protection locked="0"/>
    </xf>
    <xf numFmtId="2" fontId="0" fillId="9" borderId="33" xfId="0" applyNumberFormat="1" applyFill="1" applyBorder="1" applyAlignment="1" applyProtection="1">
      <protection locked="0"/>
    </xf>
    <xf numFmtId="0" fontId="15" fillId="0" borderId="0" xfId="0" applyFont="1" applyAlignment="1">
      <alignment horizontal="center" vertical="top"/>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3" fillId="0" borderId="0" xfId="0" applyFont="1" applyAlignment="1">
      <alignment horizontal="left"/>
    </xf>
    <xf numFmtId="0" fontId="25" fillId="0" borderId="0" xfId="0" applyFont="1" applyAlignment="1">
      <alignment horizontal="left"/>
    </xf>
    <xf numFmtId="0" fontId="34" fillId="3" borderId="17" xfId="4" applyFont="1" applyFill="1" applyBorder="1" applyAlignment="1">
      <alignment horizontal="center" vertical="center"/>
    </xf>
    <xf numFmtId="0" fontId="0" fillId="0" borderId="0" xfId="0" quotePrefix="1" applyAlignment="1">
      <alignment vertical="top" wrapText="1"/>
    </xf>
    <xf numFmtId="0" fontId="35" fillId="0" borderId="0" xfId="0" applyFont="1" applyAlignment="1">
      <alignment horizontal="right"/>
    </xf>
    <xf numFmtId="0" fontId="35" fillId="0" borderId="0" xfId="0" applyFont="1" applyBorder="1" applyAlignment="1">
      <alignment horizontal="right"/>
    </xf>
    <xf numFmtId="0" fontId="36" fillId="0" borderId="0" xfId="0" applyFont="1" applyBorder="1" applyAlignment="1">
      <alignment horizontal="right"/>
    </xf>
    <xf numFmtId="0" fontId="36" fillId="0" borderId="0" xfId="0" applyNumberFormat="1" applyFont="1" applyBorder="1" applyAlignment="1">
      <alignment horizontal="right"/>
    </xf>
    <xf numFmtId="165" fontId="0" fillId="0" borderId="0" xfId="0" applyNumberFormat="1" applyAlignment="1">
      <alignment vertical="top"/>
    </xf>
    <xf numFmtId="2" fontId="13" fillId="9" borderId="12" xfId="0" applyNumberFormat="1" applyFont="1" applyFill="1" applyBorder="1" applyAlignment="1" applyProtection="1">
      <alignment horizontal="center"/>
      <protection locked="0"/>
    </xf>
    <xf numFmtId="3" fontId="27" fillId="5" borderId="1" xfId="0" applyNumberFormat="1" applyFont="1" applyFill="1" applyBorder="1" applyAlignment="1">
      <alignment horizontal="center"/>
    </xf>
    <xf numFmtId="3" fontId="27" fillId="5" borderId="2" xfId="0" applyNumberFormat="1" applyFont="1" applyFill="1" applyBorder="1" applyAlignment="1">
      <alignment horizontal="center"/>
    </xf>
    <xf numFmtId="3" fontId="27" fillId="5" borderId="5" xfId="0" applyNumberFormat="1" applyFont="1" applyFill="1" applyBorder="1" applyAlignment="1">
      <alignment horizontal="center"/>
    </xf>
    <xf numFmtId="0" fontId="0" fillId="0" borderId="0" xfId="0" applyFont="1" applyAlignment="1">
      <alignment horizontal="right"/>
    </xf>
    <xf numFmtId="0" fontId="0" fillId="0" borderId="9" xfId="0" applyFont="1" applyBorder="1" applyAlignment="1">
      <alignment horizontal="right"/>
    </xf>
    <xf numFmtId="0" fontId="22" fillId="0" borderId="0" xfId="0" applyFont="1" applyBorder="1" applyAlignment="1">
      <alignment horizontal="right"/>
    </xf>
    <xf numFmtId="0" fontId="22" fillId="0" borderId="9" xfId="0" applyFont="1" applyBorder="1" applyAlignment="1">
      <alignment horizontal="right"/>
    </xf>
    <xf numFmtId="0" fontId="28" fillId="7" borderId="37"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39" xfId="0" applyFont="1" applyFill="1" applyBorder="1" applyAlignment="1">
      <alignment horizontal="center" vertical="center"/>
    </xf>
    <xf numFmtId="0" fontId="13" fillId="0" borderId="14" xfId="0" applyFont="1" applyBorder="1" applyAlignment="1">
      <alignment horizontal="center"/>
    </xf>
    <xf numFmtId="0" fontId="13" fillId="0" borderId="40" xfId="0" applyFont="1" applyBorder="1" applyAlignment="1">
      <alignment horizont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22" fillId="0" borderId="0" xfId="0" applyFont="1" applyAlignment="1">
      <alignment horizontal="right" vertical="center"/>
    </xf>
    <xf numFmtId="0" fontId="22" fillId="0" borderId="9" xfId="0" applyFont="1" applyBorder="1" applyAlignment="1">
      <alignment horizontal="right" vertical="center"/>
    </xf>
    <xf numFmtId="2" fontId="29" fillId="8" borderId="15" xfId="0" applyNumberFormat="1" applyFont="1" applyFill="1" applyBorder="1" applyAlignment="1">
      <alignment horizontal="center" vertical="center" textRotation="90"/>
    </xf>
    <xf numFmtId="2" fontId="29" fillId="8" borderId="16" xfId="0" applyNumberFormat="1" applyFont="1" applyFill="1" applyBorder="1" applyAlignment="1">
      <alignment horizontal="center" vertical="center" textRotation="90"/>
    </xf>
    <xf numFmtId="2" fontId="29" fillId="8" borderId="13" xfId="0" applyNumberFormat="1" applyFont="1" applyFill="1" applyBorder="1" applyAlignment="1">
      <alignment horizontal="center" vertical="center" textRotation="90"/>
    </xf>
    <xf numFmtId="0" fontId="34" fillId="3" borderId="44" xfId="4" applyFont="1" applyFill="1" applyBorder="1" applyAlignment="1">
      <alignment horizontal="center" vertical="center"/>
    </xf>
    <xf numFmtId="0" fontId="34" fillId="3" borderId="45" xfId="4" applyFont="1" applyFill="1" applyBorder="1" applyAlignment="1">
      <alignment horizontal="center" vertical="center"/>
    </xf>
  </cellXfs>
  <cellStyles count="5">
    <cellStyle name="Hyperlink" xfId="4" builtinId="8"/>
    <cellStyle name="Normal" xfId="0" builtinId="0"/>
    <cellStyle name="Normal 3" xfId="1"/>
    <cellStyle name="Output" xfId="2" builtinId="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666750</xdr:colOff>
      <xdr:row>0</xdr:row>
      <xdr:rowOff>38100</xdr:rowOff>
    </xdr:from>
    <xdr:to>
      <xdr:col>17</xdr:col>
      <xdr:colOff>1257300</xdr:colOff>
      <xdr:row>1</xdr:row>
      <xdr:rowOff>428625</xdr:rowOff>
    </xdr:to>
    <xdr:pic>
      <xdr:nvPicPr>
        <xdr:cNvPr id="1033" name="Picture 1" descr="Head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2375" y="38100"/>
          <a:ext cx="1428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docs/sites/snp/p/Prudential%20Standard/3_LifeofNEMModel/Calculator/MCL_Calculator_Summer2014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L"/>
      <sheetName val="RegionalData"/>
      <sheetName val="ParticipantData"/>
      <sheetName val="Version history"/>
    </sheetNames>
    <sheetDataSet>
      <sheetData sheetId="0">
        <row r="8">
          <cell r="E8">
            <v>35</v>
          </cell>
          <cell r="F8">
            <v>7</v>
          </cell>
          <cell r="G8">
            <v>0.1</v>
          </cell>
        </row>
      </sheetData>
      <sheetData sheetId="1">
        <row r="6">
          <cell r="H6">
            <v>58.62</v>
          </cell>
          <cell r="I6">
            <v>63.33</v>
          </cell>
          <cell r="J6">
            <v>71.180000000000007</v>
          </cell>
          <cell r="K6">
            <v>59.55</v>
          </cell>
          <cell r="L6">
            <v>55.4</v>
          </cell>
        </row>
        <row r="7">
          <cell r="H7">
            <v>59.120365893644376</v>
          </cell>
          <cell r="I7">
            <v>64.279954602518131</v>
          </cell>
          <cell r="J7">
            <v>68.832177809260912</v>
          </cell>
          <cell r="K7">
            <v>60.797783452385637</v>
          </cell>
          <cell r="L7">
            <v>56.155824376362702</v>
          </cell>
        </row>
        <row r="8">
          <cell r="H8">
            <v>48.421304398596298</v>
          </cell>
          <cell r="I8">
            <v>49.35012556100861</v>
          </cell>
          <cell r="J8">
            <v>50.707163323945167</v>
          </cell>
          <cell r="K8">
            <v>57.992295571785036</v>
          </cell>
          <cell r="L8">
            <v>47.524118421188334</v>
          </cell>
        </row>
        <row r="9">
          <cell r="H9">
            <v>49.495683607750415</v>
          </cell>
          <cell r="I9">
            <v>51.472863187690315</v>
          </cell>
          <cell r="J9">
            <v>52.205138891645404</v>
          </cell>
          <cell r="K9">
            <v>58.285129175807739</v>
          </cell>
          <cell r="L9">
            <v>48.432484008163691</v>
          </cell>
        </row>
        <row r="10">
          <cell r="H10">
            <v>50.102687507031192</v>
          </cell>
          <cell r="I10">
            <v>52.541288997622495</v>
          </cell>
          <cell r="J10">
            <v>52.957719092104128</v>
          </cell>
          <cell r="K10">
            <v>58.373963275353461</v>
          </cell>
          <cell r="L10">
            <v>48.896280305414322</v>
          </cell>
        </row>
        <row r="11">
          <cell r="H11">
            <v>1.37</v>
          </cell>
          <cell r="I11">
            <v>1.54</v>
          </cell>
          <cell r="J11">
            <v>1.6300000000000001</v>
          </cell>
          <cell r="K11">
            <v>1.05</v>
          </cell>
          <cell r="L11">
            <v>1.3800000000000001</v>
          </cell>
        </row>
        <row r="12">
          <cell r="H12">
            <v>1.39</v>
          </cell>
          <cell r="I12">
            <v>1.73</v>
          </cell>
          <cell r="J12">
            <v>3.11</v>
          </cell>
          <cell r="K12">
            <v>1.05</v>
          </cell>
          <cell r="L12">
            <v>1.59</v>
          </cell>
        </row>
        <row r="21">
          <cell r="D21">
            <v>42.173771510302949</v>
          </cell>
          <cell r="E21">
            <v>40.814604858931261</v>
          </cell>
          <cell r="F21">
            <v>41.257645262775235</v>
          </cell>
          <cell r="G21">
            <v>39.943554760932628</v>
          </cell>
          <cell r="H21">
            <v>37.600702931561749</v>
          </cell>
          <cell r="I21">
            <v>36.890160627229577</v>
          </cell>
          <cell r="J21">
            <v>36.518869859524294</v>
          </cell>
          <cell r="K21">
            <v>36.566890860357461</v>
          </cell>
          <cell r="L21">
            <v>37.694309571783258</v>
          </cell>
          <cell r="M21">
            <v>38.612168019733211</v>
          </cell>
          <cell r="N21">
            <v>41.225993153063762</v>
          </cell>
          <cell r="O21">
            <v>42.688634161476067</v>
          </cell>
          <cell r="P21">
            <v>44.705792873507598</v>
          </cell>
          <cell r="Q21">
            <v>47.714720672170806</v>
          </cell>
          <cell r="R21">
            <v>44.809483695145886</v>
          </cell>
          <cell r="S21">
            <v>46.228911014688208</v>
          </cell>
          <cell r="T21">
            <v>48.562810648281733</v>
          </cell>
          <cell r="U21">
            <v>49.62310553482277</v>
          </cell>
          <cell r="V21">
            <v>51.467482105281803</v>
          </cell>
          <cell r="W21">
            <v>52.280541722151582</v>
          </cell>
          <cell r="X21">
            <v>56.449909429791724</v>
          </cell>
          <cell r="Y21">
            <v>60.005592028265902</v>
          </cell>
          <cell r="Z21">
            <v>60.411207916297947</v>
          </cell>
          <cell r="AA21">
            <v>66.536383147074034</v>
          </cell>
          <cell r="AB21">
            <v>66.211234778407416</v>
          </cell>
          <cell r="AC21">
            <v>74.979088970184023</v>
          </cell>
          <cell r="AD21">
            <v>87.746421853960229</v>
          </cell>
          <cell r="AE21">
            <v>99.541914321239091</v>
          </cell>
          <cell r="AF21">
            <v>113.34620835040585</v>
          </cell>
          <cell r="AG21">
            <v>117.72945717373982</v>
          </cell>
          <cell r="AH21">
            <v>114.45318602363487</v>
          </cell>
          <cell r="AI21">
            <v>134.03958355637536</v>
          </cell>
          <cell r="AJ21">
            <v>96.026263221118683</v>
          </cell>
          <cell r="AK21">
            <v>71.579563040014179</v>
          </cell>
          <cell r="AL21">
            <v>54.703943449330019</v>
          </cell>
          <cell r="AM21">
            <v>52.574408653458292</v>
          </cell>
          <cell r="AN21">
            <v>49.764831032041016</v>
          </cell>
          <cell r="AO21">
            <v>49.208439780524309</v>
          </cell>
          <cell r="AP21">
            <v>49.916356131055956</v>
          </cell>
          <cell r="AQ21">
            <v>49.476115990719215</v>
          </cell>
          <cell r="AR21">
            <v>47.138019628064875</v>
          </cell>
          <cell r="AS21">
            <v>44.686602867035042</v>
          </cell>
          <cell r="AT21">
            <v>45.412096297270701</v>
          </cell>
          <cell r="AU21">
            <v>42.709316165012758</v>
          </cell>
          <cell r="AV21">
            <v>45.995862701877456</v>
          </cell>
          <cell r="AW21">
            <v>44.138117473827776</v>
          </cell>
          <cell r="AX21">
            <v>45.948549827338589</v>
          </cell>
          <cell r="AY21">
            <v>43.782847405863663</v>
          </cell>
        </row>
        <row r="22">
          <cell r="D22">
            <v>42.840297621453821</v>
          </cell>
          <cell r="E22">
            <v>40.037236909828898</v>
          </cell>
          <cell r="F22">
            <v>39.093797248710779</v>
          </cell>
          <cell r="G22">
            <v>38.570024060147972</v>
          </cell>
          <cell r="H22">
            <v>36.748286872530834</v>
          </cell>
          <cell r="I22">
            <v>36.168600117368193</v>
          </cell>
          <cell r="J22">
            <v>36.005195169725717</v>
          </cell>
          <cell r="K22">
            <v>36.016118255961828</v>
          </cell>
          <cell r="L22">
            <v>36.86615197170984</v>
          </cell>
          <cell r="M22">
            <v>38.57458442458104</v>
          </cell>
          <cell r="N22">
            <v>39.084120626772453</v>
          </cell>
          <cell r="O22">
            <v>40.30078557224266</v>
          </cell>
          <cell r="P22">
            <v>46.422813912293343</v>
          </cell>
          <cell r="Q22">
            <v>48.004005062512491</v>
          </cell>
          <cell r="R22">
            <v>49.376652355498472</v>
          </cell>
          <cell r="S22">
            <v>50.724034573333647</v>
          </cell>
          <cell r="T22">
            <v>57.634022701365133</v>
          </cell>
          <cell r="U22">
            <v>57.810424069475701</v>
          </cell>
          <cell r="V22">
            <v>59.77107797152437</v>
          </cell>
          <cell r="W22">
            <v>63.81733603098607</v>
          </cell>
          <cell r="X22">
            <v>61.709851926577528</v>
          </cell>
          <cell r="Y22">
            <v>68.87276570303942</v>
          </cell>
          <cell r="Z22">
            <v>70.008345559906701</v>
          </cell>
          <cell r="AA22">
            <v>74.067760056048911</v>
          </cell>
          <cell r="AB22">
            <v>86.665609831698319</v>
          </cell>
          <cell r="AC22">
            <v>88.813228835483031</v>
          </cell>
          <cell r="AD22">
            <v>94.608100318432321</v>
          </cell>
          <cell r="AE22">
            <v>106.76036969506455</v>
          </cell>
          <cell r="AF22">
            <v>120.46099072558916</v>
          </cell>
          <cell r="AG22">
            <v>120.10474596185281</v>
          </cell>
          <cell r="AH22">
            <v>121.35182861176442</v>
          </cell>
          <cell r="AI22">
            <v>119.04949418104096</v>
          </cell>
          <cell r="AJ22">
            <v>110.13581056688398</v>
          </cell>
          <cell r="AK22">
            <v>85.359933008027213</v>
          </cell>
          <cell r="AL22">
            <v>65.819282028959634</v>
          </cell>
          <cell r="AM22">
            <v>57.966130382087158</v>
          </cell>
          <cell r="AN22">
            <v>56.363051195851497</v>
          </cell>
          <cell r="AO22">
            <v>69.833452240288963</v>
          </cell>
          <cell r="AP22">
            <v>62.816342816901248</v>
          </cell>
          <cell r="AQ22">
            <v>59.095766454402487</v>
          </cell>
          <cell r="AR22">
            <v>51.880747185304905</v>
          </cell>
          <cell r="AS22">
            <v>47.350896314338144</v>
          </cell>
          <cell r="AT22">
            <v>49.405425170214656</v>
          </cell>
          <cell r="AU22">
            <v>43.354645904983322</v>
          </cell>
          <cell r="AV22">
            <v>50.689265442753843</v>
          </cell>
          <cell r="AW22">
            <v>48.76385221138441</v>
          </cell>
          <cell r="AX22">
            <v>47.136743777676131</v>
          </cell>
          <cell r="AY22">
            <v>43.357681293754823</v>
          </cell>
        </row>
        <row r="23">
          <cell r="D23">
            <v>45.593546395969689</v>
          </cell>
          <cell r="E23">
            <v>46.982470932638826</v>
          </cell>
          <cell r="F23">
            <v>45.993596090141942</v>
          </cell>
          <cell r="G23">
            <v>41.737326126471487</v>
          </cell>
          <cell r="H23">
            <v>38.765149972647414</v>
          </cell>
          <cell r="I23">
            <v>37.521523019802423</v>
          </cell>
          <cell r="J23">
            <v>35.586606625209882</v>
          </cell>
          <cell r="K23">
            <v>34.270428916216368</v>
          </cell>
          <cell r="L23">
            <v>35.799673867693421</v>
          </cell>
          <cell r="M23">
            <v>37.554054072975418</v>
          </cell>
          <cell r="N23">
            <v>40.074207839376392</v>
          </cell>
          <cell r="O23">
            <v>42.560189253793517</v>
          </cell>
          <cell r="P23">
            <v>46.096600624098642</v>
          </cell>
          <cell r="Q23">
            <v>52.004812130707784</v>
          </cell>
          <cell r="R23">
            <v>52.370470321564049</v>
          </cell>
          <cell r="S23">
            <v>49.986578497636273</v>
          </cell>
          <cell r="T23">
            <v>56.804145861999352</v>
          </cell>
          <cell r="U23">
            <v>59.688607786605168</v>
          </cell>
          <cell r="V23">
            <v>56.944883863674264</v>
          </cell>
          <cell r="W23">
            <v>62.122126737705763</v>
          </cell>
          <cell r="X23">
            <v>59.366975018074541</v>
          </cell>
          <cell r="Y23">
            <v>61.703977133452547</v>
          </cell>
          <cell r="Z23">
            <v>64.504672645318564</v>
          </cell>
          <cell r="AA23">
            <v>67.181904553977077</v>
          </cell>
          <cell r="AB23">
            <v>77.45559523388124</v>
          </cell>
          <cell r="AC23">
            <v>85.160359673609747</v>
          </cell>
          <cell r="AD23">
            <v>97.779214528306099</v>
          </cell>
          <cell r="AE23">
            <v>120.03711078414179</v>
          </cell>
          <cell r="AF23">
            <v>128.11852076568837</v>
          </cell>
          <cell r="AG23">
            <v>142.36272339045297</v>
          </cell>
          <cell r="AH23">
            <v>158.26843087202153</v>
          </cell>
          <cell r="AI23">
            <v>157.17503599053711</v>
          </cell>
          <cell r="AJ23">
            <v>130.8773205613839</v>
          </cell>
          <cell r="AK23">
            <v>114.90171916129303</v>
          </cell>
          <cell r="AL23">
            <v>96.64619053474199</v>
          </cell>
          <cell r="AM23">
            <v>72.452831167861461</v>
          </cell>
          <cell r="AN23">
            <v>63.561856115957845</v>
          </cell>
          <cell r="AO23">
            <v>56.998006037620776</v>
          </cell>
          <cell r="AP23">
            <v>55.119820026154613</v>
          </cell>
          <cell r="AQ23">
            <v>55.34409757860989</v>
          </cell>
          <cell r="AR23">
            <v>53.441759690758161</v>
          </cell>
          <cell r="AS23">
            <v>54.919814168734312</v>
          </cell>
          <cell r="AT23">
            <v>52.857888636284287</v>
          </cell>
          <cell r="AU23">
            <v>46.540168468110522</v>
          </cell>
          <cell r="AV23">
            <v>49.345879057927277</v>
          </cell>
          <cell r="AW23">
            <v>47.208966600766409</v>
          </cell>
          <cell r="AX23">
            <v>47.736687709428722</v>
          </cell>
          <cell r="AY23">
            <v>52.401863292548427</v>
          </cell>
        </row>
        <row r="24">
          <cell r="D24">
            <v>57.813320134875056</v>
          </cell>
          <cell r="E24">
            <v>56.946045232315932</v>
          </cell>
          <cell r="F24">
            <v>55.387453074453006</v>
          </cell>
          <cell r="G24">
            <v>54.394256646673391</v>
          </cell>
          <cell r="H24">
            <v>52.830093538914461</v>
          </cell>
          <cell r="I24">
            <v>53.155618222383431</v>
          </cell>
          <cell r="J24">
            <v>52.474698794488745</v>
          </cell>
          <cell r="K24">
            <v>52.045397006950033</v>
          </cell>
          <cell r="L24">
            <v>53.141593681266919</v>
          </cell>
          <cell r="M24">
            <v>53.124303130866387</v>
          </cell>
          <cell r="N24">
            <v>57.895280869660304</v>
          </cell>
          <cell r="O24">
            <v>58.336711832924252</v>
          </cell>
          <cell r="P24">
            <v>58.47333869106707</v>
          </cell>
          <cell r="Q24">
            <v>58.58372904473309</v>
          </cell>
          <cell r="R24">
            <v>64.886233025889737</v>
          </cell>
          <cell r="S24">
            <v>59.928545536148306</v>
          </cell>
          <cell r="T24">
            <v>62.560404624685319</v>
          </cell>
          <cell r="U24">
            <v>60.656567441972825</v>
          </cell>
          <cell r="V24">
            <v>71.463162071865867</v>
          </cell>
          <cell r="W24">
            <v>70.156648111669668</v>
          </cell>
          <cell r="X24">
            <v>69.554415784598035</v>
          </cell>
          <cell r="Y24">
            <v>71.286453816359383</v>
          </cell>
          <cell r="Z24">
            <v>67.905677965413332</v>
          </cell>
          <cell r="AA24">
            <v>65.959555603909948</v>
          </cell>
          <cell r="AB24">
            <v>70.584516473796782</v>
          </cell>
          <cell r="AC24">
            <v>60.014077035424144</v>
          </cell>
          <cell r="AD24">
            <v>61.652162513396277</v>
          </cell>
          <cell r="AE24">
            <v>60.423502849506754</v>
          </cell>
          <cell r="AF24">
            <v>62.139518257327552</v>
          </cell>
          <cell r="AG24">
            <v>60.505585503168625</v>
          </cell>
          <cell r="AH24">
            <v>62.679444307263395</v>
          </cell>
          <cell r="AI24">
            <v>62.595884057793214</v>
          </cell>
          <cell r="AJ24">
            <v>64.427319908241742</v>
          </cell>
          <cell r="AK24">
            <v>63.086531025342516</v>
          </cell>
          <cell r="AL24">
            <v>64.059188403598711</v>
          </cell>
          <cell r="AM24">
            <v>58.608175727613833</v>
          </cell>
          <cell r="AN24">
            <v>59.863778610534041</v>
          </cell>
          <cell r="AO24">
            <v>65.321016034301138</v>
          </cell>
          <cell r="AP24">
            <v>60.791833443746569</v>
          </cell>
          <cell r="AQ24">
            <v>61.692361849598441</v>
          </cell>
          <cell r="AR24">
            <v>60.699572323023389</v>
          </cell>
          <cell r="AS24">
            <v>58.42982319422218</v>
          </cell>
          <cell r="AT24">
            <v>58.675720084360584</v>
          </cell>
          <cell r="AU24">
            <v>57.029567844726316</v>
          </cell>
          <cell r="AV24">
            <v>59.114169010039703</v>
          </cell>
          <cell r="AW24">
            <v>59.899804495592186</v>
          </cell>
          <cell r="AX24">
            <v>59.34314182338305</v>
          </cell>
          <cell r="AY24">
            <v>57.747441674168975</v>
          </cell>
        </row>
        <row r="25">
          <cell r="D25">
            <v>40.675699069947626</v>
          </cell>
          <cell r="E25">
            <v>39.138274742363826</v>
          </cell>
          <cell r="F25">
            <v>41.831257207620801</v>
          </cell>
          <cell r="G25">
            <v>38.032101382416826</v>
          </cell>
          <cell r="H25">
            <v>35.702749265001252</v>
          </cell>
          <cell r="I25">
            <v>35.046373294037465</v>
          </cell>
          <cell r="J25">
            <v>34.111751157238132</v>
          </cell>
          <cell r="K25">
            <v>34.092964915265455</v>
          </cell>
          <cell r="L25">
            <v>34.949903818085829</v>
          </cell>
          <cell r="M25">
            <v>36.172153625867196</v>
          </cell>
          <cell r="N25">
            <v>38.352810817626583</v>
          </cell>
          <cell r="O25">
            <v>40.844848902358969</v>
          </cell>
          <cell r="P25">
            <v>44.693227698153486</v>
          </cell>
          <cell r="Q25">
            <v>48.079443167933633</v>
          </cell>
          <cell r="R25">
            <v>44.375873905807111</v>
          </cell>
          <cell r="S25">
            <v>47.20926055187789</v>
          </cell>
          <cell r="T25">
            <v>51.989965199076153</v>
          </cell>
          <cell r="U25">
            <v>53.255795425522926</v>
          </cell>
          <cell r="V25">
            <v>52.513854978621595</v>
          </cell>
          <cell r="W25">
            <v>56.281734932131663</v>
          </cell>
          <cell r="X25">
            <v>56.232197421403754</v>
          </cell>
          <cell r="Y25">
            <v>61.026362139187384</v>
          </cell>
          <cell r="Z25">
            <v>61.82891075102723</v>
          </cell>
          <cell r="AA25">
            <v>64.242732602185939</v>
          </cell>
          <cell r="AB25">
            <v>63.358453243408626</v>
          </cell>
          <cell r="AC25">
            <v>70.15683336971496</v>
          </cell>
          <cell r="AD25">
            <v>75.321222773847765</v>
          </cell>
          <cell r="AE25">
            <v>77.154355368474342</v>
          </cell>
          <cell r="AF25">
            <v>88.124688920576958</v>
          </cell>
          <cell r="AG25">
            <v>97.784550506300221</v>
          </cell>
          <cell r="AH25">
            <v>100.51003043628171</v>
          </cell>
          <cell r="AI25">
            <v>108.42760320363583</v>
          </cell>
          <cell r="AJ25">
            <v>92.25345574505819</v>
          </cell>
          <cell r="AK25">
            <v>71.852841492501867</v>
          </cell>
          <cell r="AL25">
            <v>60.713856020237472</v>
          </cell>
          <cell r="AM25">
            <v>54.207574577811954</v>
          </cell>
          <cell r="AN25">
            <v>52.300111299594562</v>
          </cell>
          <cell r="AO25">
            <v>48.033181218255123</v>
          </cell>
          <cell r="AP25">
            <v>48.441095699817232</v>
          </cell>
          <cell r="AQ25">
            <v>48.593381744862427</v>
          </cell>
          <cell r="AR25">
            <v>47.335278859877853</v>
          </cell>
          <cell r="AS25">
            <v>44.825838090531924</v>
          </cell>
          <cell r="AT25">
            <v>44.60857963283123</v>
          </cell>
          <cell r="AU25">
            <v>41.430016030035638</v>
          </cell>
          <cell r="AV25">
            <v>43.235315627938633</v>
          </cell>
          <cell r="AW25">
            <v>41.47929479974264</v>
          </cell>
          <cell r="AX25">
            <v>45.125692865677443</v>
          </cell>
          <cell r="AY25">
            <v>43.411365795118243</v>
          </cell>
        </row>
        <row r="26">
          <cell r="D26">
            <v>42.164809595062614</v>
          </cell>
          <cell r="E26">
            <v>40.815130898877726</v>
          </cell>
          <cell r="F26">
            <v>41.247529105413022</v>
          </cell>
          <cell r="G26">
            <v>38.955775420584374</v>
          </cell>
          <cell r="H26">
            <v>37.584116030427936</v>
          </cell>
          <cell r="I26">
            <v>36.890291887954767</v>
          </cell>
          <cell r="J26">
            <v>36.518968291974211</v>
          </cell>
          <cell r="K26">
            <v>36.566890860357461</v>
          </cell>
          <cell r="L26">
            <v>37.694309571783258</v>
          </cell>
          <cell r="M26">
            <v>38.611277496462279</v>
          </cell>
          <cell r="N26">
            <v>41.223712026049313</v>
          </cell>
          <cell r="O26">
            <v>42.686581669654892</v>
          </cell>
          <cell r="P26">
            <v>44.534021621716668</v>
          </cell>
          <cell r="Q26">
            <v>46.903011028044979</v>
          </cell>
          <cell r="R26">
            <v>44.821317928771307</v>
          </cell>
          <cell r="S26">
            <v>46.237933414005781</v>
          </cell>
          <cell r="T26">
            <v>48.783174064871069</v>
          </cell>
          <cell r="U26">
            <v>49.763262857832359</v>
          </cell>
          <cell r="V26">
            <v>51.086772297729837</v>
          </cell>
          <cell r="W26">
            <v>51.602661753367244</v>
          </cell>
          <cell r="X26">
            <v>52.019743986177247</v>
          </cell>
          <cell r="Y26">
            <v>53.28639446566055</v>
          </cell>
          <cell r="Z26">
            <v>53.753362520881325</v>
          </cell>
          <cell r="AA26">
            <v>54.438992689302694</v>
          </cell>
          <cell r="AB26">
            <v>55.608697877993805</v>
          </cell>
          <cell r="AC26">
            <v>56.212778583497922</v>
          </cell>
          <cell r="AD26">
            <v>57.09655916252553</v>
          </cell>
          <cell r="AE26">
            <v>57.171433607404921</v>
          </cell>
          <cell r="AF26">
            <v>57.054310859693089</v>
          </cell>
          <cell r="AG26">
            <v>57.066008872284975</v>
          </cell>
          <cell r="AH26">
            <v>57.057912274528562</v>
          </cell>
          <cell r="AI26">
            <v>57.332677988927131</v>
          </cell>
          <cell r="AJ26">
            <v>55.798535191436116</v>
          </cell>
          <cell r="AK26">
            <v>54.570159218035727</v>
          </cell>
          <cell r="AL26">
            <v>51.351126110519303</v>
          </cell>
          <cell r="AM26">
            <v>49.587741790146879</v>
          </cell>
          <cell r="AN26">
            <v>48.076196429099568</v>
          </cell>
          <cell r="AO26">
            <v>48.357654511301924</v>
          </cell>
          <cell r="AP26">
            <v>49.018222459197766</v>
          </cell>
          <cell r="AQ26">
            <v>48.615476854660784</v>
          </cell>
          <cell r="AR26">
            <v>46.820681024137215</v>
          </cell>
          <cell r="AS26">
            <v>44.594051984248217</v>
          </cell>
          <cell r="AT26">
            <v>45.201333250930688</v>
          </cell>
          <cell r="AU26">
            <v>42.712790866744747</v>
          </cell>
          <cell r="AV26">
            <v>45.682351390280076</v>
          </cell>
          <cell r="AW26">
            <v>44.023101142170859</v>
          </cell>
          <cell r="AX26">
            <v>45.743332818105422</v>
          </cell>
          <cell r="AY26">
            <v>43.777422634762438</v>
          </cell>
        </row>
        <row r="27">
          <cell r="D27">
            <v>41.137353963605172</v>
          </cell>
          <cell r="E27">
            <v>39.802389782114041</v>
          </cell>
          <cell r="F27">
            <v>39.097389088057902</v>
          </cell>
          <cell r="G27">
            <v>37.617995018614181</v>
          </cell>
          <cell r="H27">
            <v>36.592509267338166</v>
          </cell>
          <cell r="I27">
            <v>36.092968439072138</v>
          </cell>
          <cell r="J27">
            <v>35.989827470138266</v>
          </cell>
          <cell r="K27">
            <v>36.016118255961828</v>
          </cell>
          <cell r="L27">
            <v>36.639151971709836</v>
          </cell>
          <cell r="M27">
            <v>37.639076423637448</v>
          </cell>
          <cell r="N27">
            <v>38.702406553032517</v>
          </cell>
          <cell r="O27">
            <v>40.167925995151208</v>
          </cell>
          <cell r="P27">
            <v>42.92206766532118</v>
          </cell>
          <cell r="Q27">
            <v>44.585169402533509</v>
          </cell>
          <cell r="R27">
            <v>44.657988707942003</v>
          </cell>
          <cell r="S27">
            <v>46.994038468985195</v>
          </cell>
          <cell r="T27">
            <v>50.157060086277824</v>
          </cell>
          <cell r="U27">
            <v>51.617884813214673</v>
          </cell>
          <cell r="V27">
            <v>52.723249604948151</v>
          </cell>
          <cell r="W27">
            <v>53.127486088291022</v>
          </cell>
          <cell r="X27">
            <v>53.195764382652939</v>
          </cell>
          <cell r="Y27">
            <v>54.897088260284008</v>
          </cell>
          <cell r="Z27">
            <v>55.681800951363925</v>
          </cell>
          <cell r="AA27">
            <v>56.685221636411171</v>
          </cell>
          <cell r="AB27">
            <v>57.650292837424253</v>
          </cell>
          <cell r="AC27">
            <v>58.607862155551722</v>
          </cell>
          <cell r="AD27">
            <v>59.802143004762726</v>
          </cell>
          <cell r="AE27">
            <v>59.60144979673489</v>
          </cell>
          <cell r="AF27">
            <v>60.012697754368986</v>
          </cell>
          <cell r="AG27">
            <v>58.753792871867958</v>
          </cell>
          <cell r="AH27">
            <v>59.399835023492102</v>
          </cell>
          <cell r="AI27">
            <v>59.38834854261863</v>
          </cell>
          <cell r="AJ27">
            <v>58.040240040882331</v>
          </cell>
          <cell r="AK27">
            <v>57.098736136039172</v>
          </cell>
          <cell r="AL27">
            <v>53.791069816989719</v>
          </cell>
          <cell r="AM27">
            <v>51.777921720232321</v>
          </cell>
          <cell r="AN27">
            <v>49.993766049465577</v>
          </cell>
          <cell r="AO27">
            <v>52.035601868505424</v>
          </cell>
          <cell r="AP27">
            <v>52.614857732520839</v>
          </cell>
          <cell r="AQ27">
            <v>50.99421962283224</v>
          </cell>
          <cell r="AR27">
            <v>47.987353216505703</v>
          </cell>
          <cell r="AS27">
            <v>45.745283964735947</v>
          </cell>
          <cell r="AT27">
            <v>46.013508909900835</v>
          </cell>
          <cell r="AU27">
            <v>43.014696929734207</v>
          </cell>
          <cell r="AV27">
            <v>46.741541316856662</v>
          </cell>
          <cell r="AW27">
            <v>44.981086236047119</v>
          </cell>
          <cell r="AX27">
            <v>46.005130483726433</v>
          </cell>
          <cell r="AY27">
            <v>43.078905098013749</v>
          </cell>
        </row>
        <row r="28">
          <cell r="D28">
            <v>45.486923415345153</v>
          </cell>
          <cell r="E28">
            <v>44.069464284949589</v>
          </cell>
          <cell r="F28">
            <v>43.711723892397487</v>
          </cell>
          <cell r="G28">
            <v>39.938634010420088</v>
          </cell>
          <cell r="H28">
            <v>37.035566258173809</v>
          </cell>
          <cell r="I28">
            <v>36.283326271995449</v>
          </cell>
          <cell r="J28">
            <v>34.674551233255876</v>
          </cell>
          <cell r="K28">
            <v>34.223093239919436</v>
          </cell>
          <cell r="L28">
            <v>35.726727701068462</v>
          </cell>
          <cell r="M28">
            <v>37.493745058371807</v>
          </cell>
          <cell r="N28">
            <v>40.039261223476188</v>
          </cell>
          <cell r="O28">
            <v>42.449828628769467</v>
          </cell>
          <cell r="P28">
            <v>45.319591167594993</v>
          </cell>
          <cell r="Q28">
            <v>49.152628926040492</v>
          </cell>
          <cell r="R28">
            <v>47.465167765760242</v>
          </cell>
          <cell r="S28">
            <v>48.341466794562251</v>
          </cell>
          <cell r="T28">
            <v>51.308395164587722</v>
          </cell>
          <cell r="U28">
            <v>52.639556454883689</v>
          </cell>
          <cell r="V28">
            <v>53.617990817262168</v>
          </cell>
          <cell r="W28">
            <v>54.521130651503057</v>
          </cell>
          <cell r="X28">
            <v>55.422064638222061</v>
          </cell>
          <cell r="Y28">
            <v>56.390319744904723</v>
          </cell>
          <cell r="Z28">
            <v>57.26394763155303</v>
          </cell>
          <cell r="AA28">
            <v>57.036643225026651</v>
          </cell>
          <cell r="AB28">
            <v>58.74109953066079</v>
          </cell>
          <cell r="AC28">
            <v>59.275225221052295</v>
          </cell>
          <cell r="AD28">
            <v>59.996504372105825</v>
          </cell>
          <cell r="AE28">
            <v>60.627238119200982</v>
          </cell>
          <cell r="AF28">
            <v>60.355024950121091</v>
          </cell>
          <cell r="AG28">
            <v>60.142401816820744</v>
          </cell>
          <cell r="AH28">
            <v>60.766198407068082</v>
          </cell>
          <cell r="AI28">
            <v>60.833005996369721</v>
          </cell>
          <cell r="AJ28">
            <v>59.727053707760305</v>
          </cell>
          <cell r="AK28">
            <v>58.35792706630793</v>
          </cell>
          <cell r="AL28">
            <v>56.026563160362912</v>
          </cell>
          <cell r="AM28">
            <v>53.887441249260455</v>
          </cell>
          <cell r="AN28">
            <v>52.328228100361223</v>
          </cell>
          <cell r="AO28">
            <v>52.095580543458979</v>
          </cell>
          <cell r="AP28">
            <v>51.927736428122735</v>
          </cell>
          <cell r="AQ28">
            <v>51.924339425805954</v>
          </cell>
          <cell r="AR28">
            <v>51.054593735116299</v>
          </cell>
          <cell r="AS28">
            <v>48.962458141153292</v>
          </cell>
          <cell r="AT28">
            <v>48.301894591406466</v>
          </cell>
          <cell r="AU28">
            <v>45.142603789234727</v>
          </cell>
          <cell r="AV28">
            <v>46.331721061608434</v>
          </cell>
          <cell r="AW28">
            <v>44.934372951724335</v>
          </cell>
          <cell r="AX28">
            <v>47.447952585972899</v>
          </cell>
          <cell r="AY28">
            <v>48.619419926632332</v>
          </cell>
        </row>
        <row r="29">
          <cell r="D29">
            <v>55.872048446450322</v>
          </cell>
          <cell r="E29">
            <v>54.666754616543024</v>
          </cell>
          <cell r="F29">
            <v>55.468713635703708</v>
          </cell>
          <cell r="G29">
            <v>54.429842904120243</v>
          </cell>
          <cell r="H29">
            <v>52.515446647697651</v>
          </cell>
          <cell r="I29">
            <v>52.100956813940243</v>
          </cell>
          <cell r="J29">
            <v>51.641489246317278</v>
          </cell>
          <cell r="K29">
            <v>52.099371556768794</v>
          </cell>
          <cell r="L29">
            <v>52.107895024149904</v>
          </cell>
          <cell r="M29">
            <v>52.933695476546447</v>
          </cell>
          <cell r="N29">
            <v>55.630375305744764</v>
          </cell>
          <cell r="O29">
            <v>56.660801945143653</v>
          </cell>
          <cell r="P29">
            <v>57.78056188320636</v>
          </cell>
          <cell r="Q29">
            <v>59.876129050933407</v>
          </cell>
          <cell r="R29">
            <v>59.040296267486916</v>
          </cell>
          <cell r="S29">
            <v>58.411194978874903</v>
          </cell>
          <cell r="T29">
            <v>60.360908763581939</v>
          </cell>
          <cell r="U29">
            <v>59.657704466220281</v>
          </cell>
          <cell r="V29">
            <v>61.750676524994496</v>
          </cell>
          <cell r="W29">
            <v>62.05808016544951</v>
          </cell>
          <cell r="X29">
            <v>62.419522361970451</v>
          </cell>
          <cell r="Y29">
            <v>62.910995219948454</v>
          </cell>
          <cell r="Z29">
            <v>63.683148009829246</v>
          </cell>
          <cell r="AA29">
            <v>62.946832461580918</v>
          </cell>
          <cell r="AB29">
            <v>61.239571930511687</v>
          </cell>
          <cell r="AC29">
            <v>58.201226833856616</v>
          </cell>
          <cell r="AD29">
            <v>59.092931092042171</v>
          </cell>
          <cell r="AE29">
            <v>59.160731385943258</v>
          </cell>
          <cell r="AF29">
            <v>57.42061420134452</v>
          </cell>
          <cell r="AG29">
            <v>56.713008078772859</v>
          </cell>
          <cell r="AH29">
            <v>57.701018266939002</v>
          </cell>
          <cell r="AI29">
            <v>58.096169353008719</v>
          </cell>
          <cell r="AJ29">
            <v>58.450812157683728</v>
          </cell>
          <cell r="AK29">
            <v>59.291311609219932</v>
          </cell>
          <cell r="AL29">
            <v>58.21941806950904</v>
          </cell>
          <cell r="AM29">
            <v>57.823589156220066</v>
          </cell>
          <cell r="AN29">
            <v>57.822316619886081</v>
          </cell>
          <cell r="AO29">
            <v>58.209842457513872</v>
          </cell>
          <cell r="AP29">
            <v>58.991175601312783</v>
          </cell>
          <cell r="AQ29">
            <v>60.619651685787275</v>
          </cell>
          <cell r="AR29">
            <v>60.058072669290972</v>
          </cell>
          <cell r="AS29">
            <v>58.006397740619207</v>
          </cell>
          <cell r="AT29">
            <v>58.20712497649474</v>
          </cell>
          <cell r="AU29">
            <v>56.984652176109826</v>
          </cell>
          <cell r="AV29">
            <v>57.52746912220563</v>
          </cell>
          <cell r="AW29">
            <v>57.048675526374709</v>
          </cell>
          <cell r="AX29">
            <v>57.475699646462118</v>
          </cell>
          <cell r="AY29">
            <v>57.637028658141915</v>
          </cell>
        </row>
        <row r="30">
          <cell r="D30">
            <v>40.416025694383293</v>
          </cell>
          <cell r="E30">
            <v>38.815847041073972</v>
          </cell>
          <cell r="F30">
            <v>41.062497492461077</v>
          </cell>
          <cell r="G30">
            <v>37.996586078493607</v>
          </cell>
          <cell r="H30">
            <v>35.682179246026017</v>
          </cell>
          <cell r="I30">
            <v>35.045601948119995</v>
          </cell>
          <cell r="J30">
            <v>34.112003179900753</v>
          </cell>
          <cell r="K30">
            <v>34.085091715265456</v>
          </cell>
          <cell r="L30">
            <v>34.948022437097428</v>
          </cell>
          <cell r="M30">
            <v>36.164088670353692</v>
          </cell>
          <cell r="N30">
            <v>38.32839641227708</v>
          </cell>
          <cell r="O30">
            <v>40.820054184697483</v>
          </cell>
          <cell r="P30">
            <v>43.994936871450577</v>
          </cell>
          <cell r="Q30">
            <v>47.1268182283996</v>
          </cell>
          <cell r="R30">
            <v>44.347033726757928</v>
          </cell>
          <cell r="S30">
            <v>45.648030189168445</v>
          </cell>
          <cell r="T30">
            <v>48.353792252974841</v>
          </cell>
          <cell r="U30">
            <v>49.432599791748949</v>
          </cell>
          <cell r="V30">
            <v>50.595126411137876</v>
          </cell>
          <cell r="W30">
            <v>51.288323715237098</v>
          </cell>
          <cell r="X30">
            <v>51.93211853750644</v>
          </cell>
          <cell r="Y30">
            <v>53.143156961419578</v>
          </cell>
          <cell r="Z30">
            <v>53.51893689023791</v>
          </cell>
          <cell r="AA30">
            <v>53.987339110688886</v>
          </cell>
          <cell r="AB30">
            <v>54.980740681088633</v>
          </cell>
          <cell r="AC30">
            <v>55.227762672782454</v>
          </cell>
          <cell r="AD30">
            <v>56.06837332831153</v>
          </cell>
          <cell r="AE30">
            <v>56.05086311007426</v>
          </cell>
          <cell r="AF30">
            <v>56.144662828866387</v>
          </cell>
          <cell r="AG30">
            <v>56.240985494486722</v>
          </cell>
          <cell r="AH30">
            <v>56.666186512247464</v>
          </cell>
          <cell r="AI30">
            <v>56.940956653437119</v>
          </cell>
          <cell r="AJ30">
            <v>55.574249573212789</v>
          </cell>
          <cell r="AK30">
            <v>54.32191319141571</v>
          </cell>
          <cell r="AL30">
            <v>50.664959962509741</v>
          </cell>
          <cell r="AM30">
            <v>49.045883704680392</v>
          </cell>
          <cell r="AN30">
            <v>47.435868806312193</v>
          </cell>
          <cell r="AO30">
            <v>47.378162066726397</v>
          </cell>
          <cell r="AP30">
            <v>47.767717451138978</v>
          </cell>
          <cell r="AQ30">
            <v>47.819054444234638</v>
          </cell>
          <cell r="AR30">
            <v>46.698565288462689</v>
          </cell>
          <cell r="AS30">
            <v>44.29344289410556</v>
          </cell>
          <cell r="AT30">
            <v>44.077693231018557</v>
          </cell>
          <cell r="AU30">
            <v>41.089853909014707</v>
          </cell>
          <cell r="AV30">
            <v>42.793313794644511</v>
          </cell>
          <cell r="AW30">
            <v>41.351223695538536</v>
          </cell>
          <cell r="AX30">
            <v>44.818625708431817</v>
          </cell>
          <cell r="AY30">
            <v>43.101092351363917</v>
          </cell>
        </row>
        <row r="31">
          <cell r="D31">
            <v>42.164809595062614</v>
          </cell>
          <cell r="E31">
            <v>40.815130898877726</v>
          </cell>
          <cell r="F31">
            <v>41.247529105413022</v>
          </cell>
          <cell r="G31">
            <v>39.010231720584386</v>
          </cell>
          <cell r="H31">
            <v>37.584116030427936</v>
          </cell>
          <cell r="I31">
            <v>36.890291887954767</v>
          </cell>
          <cell r="J31">
            <v>36.518968291974211</v>
          </cell>
          <cell r="K31">
            <v>36.566890860357461</v>
          </cell>
          <cell r="L31">
            <v>37.694309571783258</v>
          </cell>
          <cell r="M31">
            <v>38.611277496462279</v>
          </cell>
          <cell r="N31">
            <v>41.226536321414123</v>
          </cell>
          <cell r="O31">
            <v>42.688841105946743</v>
          </cell>
          <cell r="P31">
            <v>44.53910535337333</v>
          </cell>
          <cell r="Q31">
            <v>46.933338034800336</v>
          </cell>
          <cell r="R31">
            <v>44.823294935526683</v>
          </cell>
          <cell r="S31">
            <v>46.251191722881316</v>
          </cell>
          <cell r="T31">
            <v>48.864881603570645</v>
          </cell>
          <cell r="U31">
            <v>49.926111769883981</v>
          </cell>
          <cell r="V31">
            <v>51.374951497113877</v>
          </cell>
          <cell r="W31">
            <v>52.182773260382774</v>
          </cell>
          <cell r="X31">
            <v>52.892786679785566</v>
          </cell>
          <cell r="Y31">
            <v>54.414509888657427</v>
          </cell>
          <cell r="Z31">
            <v>55.085326707142528</v>
          </cell>
          <cell r="AA31">
            <v>56.336432989046095</v>
          </cell>
          <cell r="AB31">
            <v>57.979113328967117</v>
          </cell>
          <cell r="AC31">
            <v>59.256959474093122</v>
          </cell>
          <cell r="AD31">
            <v>60.61686268024566</v>
          </cell>
          <cell r="AE31">
            <v>60.891968044827365</v>
          </cell>
          <cell r="AF31">
            <v>61.073126838804626</v>
          </cell>
          <cell r="AG31">
            <v>61.260152377144003</v>
          </cell>
          <cell r="AH31">
            <v>61.375362115313067</v>
          </cell>
          <cell r="AI31">
            <v>61.702155477316182</v>
          </cell>
          <cell r="AJ31">
            <v>59.197884368560366</v>
          </cell>
          <cell r="AK31">
            <v>56.863662152232806</v>
          </cell>
          <cell r="AL31">
            <v>52.475088315488989</v>
          </cell>
          <cell r="AM31">
            <v>50.405779562206462</v>
          </cell>
          <cell r="AN31">
            <v>48.54188357519746</v>
          </cell>
          <cell r="AO31">
            <v>48.723980159704936</v>
          </cell>
          <cell r="AP31">
            <v>49.500997250219847</v>
          </cell>
          <cell r="AQ31">
            <v>49.076774488567843</v>
          </cell>
          <cell r="AR31">
            <v>47.065892633089923</v>
          </cell>
          <cell r="AS31">
            <v>44.715285434050791</v>
          </cell>
          <cell r="AT31">
            <v>45.310136698218265</v>
          </cell>
          <cell r="AU31">
            <v>42.723507309791962</v>
          </cell>
          <cell r="AV31">
            <v>45.71488948485522</v>
          </cell>
          <cell r="AW31">
            <v>44.029730296608619</v>
          </cell>
          <cell r="AX31">
            <v>45.748944120225602</v>
          </cell>
          <cell r="AY31">
            <v>43.777422634762438</v>
          </cell>
        </row>
        <row r="32">
          <cell r="D32">
            <v>41.471886783326468</v>
          </cell>
          <cell r="E32">
            <v>39.949389782114039</v>
          </cell>
          <cell r="F32">
            <v>39.097389088057902</v>
          </cell>
          <cell r="G32">
            <v>37.692795218614179</v>
          </cell>
          <cell r="H32">
            <v>36.592509267338166</v>
          </cell>
          <cell r="I32">
            <v>36.092968439072138</v>
          </cell>
          <cell r="J32">
            <v>35.999994933451582</v>
          </cell>
          <cell r="K32">
            <v>36.016118255961828</v>
          </cell>
          <cell r="L32">
            <v>36.722151971709835</v>
          </cell>
          <cell r="M32">
            <v>37.75001673416574</v>
          </cell>
          <cell r="N32">
            <v>38.868862853032503</v>
          </cell>
          <cell r="O32">
            <v>40.28592599515121</v>
          </cell>
          <cell r="P32">
            <v>43.878007975849478</v>
          </cell>
          <cell r="Q32">
            <v>45.662219402533509</v>
          </cell>
          <cell r="R32">
            <v>45.176697251852296</v>
          </cell>
          <cell r="S32">
            <v>47.661524366076172</v>
          </cell>
          <cell r="T32">
            <v>51.329913819094074</v>
          </cell>
          <cell r="U32">
            <v>53.043387331227493</v>
          </cell>
          <cell r="V32">
            <v>54.131073009017037</v>
          </cell>
          <cell r="W32">
            <v>55.211704805803535</v>
          </cell>
          <cell r="X32">
            <v>55.152382739354742</v>
          </cell>
          <cell r="Y32">
            <v>57.11116704050437</v>
          </cell>
          <cell r="Z32">
            <v>57.959047966870244</v>
          </cell>
          <cell r="AA32">
            <v>60.32612256495436</v>
          </cell>
          <cell r="AB32">
            <v>61.739878329208487</v>
          </cell>
          <cell r="AC32">
            <v>63.390775529658853</v>
          </cell>
          <cell r="AD32">
            <v>65.92052747584323</v>
          </cell>
          <cell r="AE32">
            <v>65.960596584462834</v>
          </cell>
          <cell r="AF32">
            <v>66.399610976694447</v>
          </cell>
          <cell r="AG32">
            <v>64.788512122586241</v>
          </cell>
          <cell r="AH32">
            <v>65.82670180342987</v>
          </cell>
          <cell r="AI32">
            <v>65.774809029292086</v>
          </cell>
          <cell r="AJ32">
            <v>63.092901486196176</v>
          </cell>
          <cell r="AK32">
            <v>61.307904900742862</v>
          </cell>
          <cell r="AL32">
            <v>56.412246755117536</v>
          </cell>
          <cell r="AM32">
            <v>53.709981316664255</v>
          </cell>
          <cell r="AN32">
            <v>51.265709413340389</v>
          </cell>
          <cell r="AO32">
            <v>54.221998051816882</v>
          </cell>
          <cell r="AP32">
            <v>54.659155158949076</v>
          </cell>
          <cell r="AQ32">
            <v>52.439167710473043</v>
          </cell>
          <cell r="AR32">
            <v>48.928310128079374</v>
          </cell>
          <cell r="AS32">
            <v>46.533275868917812</v>
          </cell>
          <cell r="AT32">
            <v>46.991869089900831</v>
          </cell>
          <cell r="AU32">
            <v>43.227636647880132</v>
          </cell>
          <cell r="AV32">
            <v>47.528598593826715</v>
          </cell>
          <cell r="AW32">
            <v>45.990638392246943</v>
          </cell>
          <cell r="AX32">
            <v>46.409243719228606</v>
          </cell>
          <cell r="AY32">
            <v>43.264905098013749</v>
          </cell>
        </row>
        <row r="33">
          <cell r="D33">
            <v>45.533956262709751</v>
          </cell>
          <cell r="E33">
            <v>44.218551947073514</v>
          </cell>
          <cell r="F33">
            <v>43.806063274307817</v>
          </cell>
          <cell r="G33">
            <v>39.985386201312537</v>
          </cell>
          <cell r="H33">
            <v>37.082167131693183</v>
          </cell>
          <cell r="I33">
            <v>36.330209575051285</v>
          </cell>
          <cell r="J33">
            <v>34.697710455247318</v>
          </cell>
          <cell r="K33">
            <v>34.238374728528889</v>
          </cell>
          <cell r="L33">
            <v>35.770569399883975</v>
          </cell>
          <cell r="M33">
            <v>37.540292728971806</v>
          </cell>
          <cell r="N33">
            <v>40.067399696059873</v>
          </cell>
          <cell r="O33">
            <v>42.475337102989641</v>
          </cell>
          <cell r="P33">
            <v>45.40378538306885</v>
          </cell>
          <cell r="Q33">
            <v>49.336540576789808</v>
          </cell>
          <cell r="R33">
            <v>47.761191101243597</v>
          </cell>
          <cell r="S33">
            <v>48.504928506658445</v>
          </cell>
          <cell r="T33">
            <v>51.660987350603669</v>
          </cell>
          <cell r="U33">
            <v>53.149120041987331</v>
          </cell>
          <cell r="V33">
            <v>54.190977802293204</v>
          </cell>
          <cell r="W33">
            <v>55.492401561662504</v>
          </cell>
          <cell r="X33">
            <v>56.608412443208678</v>
          </cell>
          <cell r="Y33">
            <v>57.676721044703079</v>
          </cell>
          <cell r="Z33">
            <v>59.051950586123681</v>
          </cell>
          <cell r="AA33">
            <v>59.180843740050882</v>
          </cell>
          <cell r="AB33">
            <v>61.257592641753376</v>
          </cell>
          <cell r="AC33">
            <v>62.634219312230336</v>
          </cell>
          <cell r="AD33">
            <v>63.54102506344978</v>
          </cell>
          <cell r="AE33">
            <v>64.832563353058845</v>
          </cell>
          <cell r="AF33">
            <v>64.92606879260201</v>
          </cell>
          <cell r="AG33">
            <v>64.91226528850612</v>
          </cell>
          <cell r="AH33">
            <v>66.420248450204483</v>
          </cell>
          <cell r="AI33">
            <v>66.481290805951886</v>
          </cell>
          <cell r="AJ33">
            <v>64.632456342867243</v>
          </cell>
          <cell r="AK33">
            <v>62.43011418199287</v>
          </cell>
          <cell r="AL33">
            <v>58.787027616130054</v>
          </cell>
          <cell r="AM33">
            <v>55.801671331163433</v>
          </cell>
          <cell r="AN33">
            <v>53.770362331341474</v>
          </cell>
          <cell r="AO33">
            <v>53.277823443955427</v>
          </cell>
          <cell r="AP33">
            <v>52.865389678145384</v>
          </cell>
          <cell r="AQ33">
            <v>52.826516557662814</v>
          </cell>
          <cell r="AR33">
            <v>51.722239439956255</v>
          </cell>
          <cell r="AS33">
            <v>49.706280142916398</v>
          </cell>
          <cell r="AT33">
            <v>49.036675844034974</v>
          </cell>
          <cell r="AU33">
            <v>45.552020635058149</v>
          </cell>
          <cell r="AV33">
            <v>46.599746945840693</v>
          </cell>
          <cell r="AW33">
            <v>45.015994572832504</v>
          </cell>
          <cell r="AX33">
            <v>47.51652430789936</v>
          </cell>
          <cell r="AY33">
            <v>48.888621513620038</v>
          </cell>
        </row>
        <row r="34">
          <cell r="D34">
            <v>56.027823246450325</v>
          </cell>
          <cell r="E34">
            <v>54.794619976543011</v>
          </cell>
          <cell r="F34">
            <v>55.545987635703717</v>
          </cell>
          <cell r="G34">
            <v>54.499557174120248</v>
          </cell>
          <cell r="H34">
            <v>52.633270507697645</v>
          </cell>
          <cell r="I34">
            <v>52.166263513940244</v>
          </cell>
          <cell r="J34">
            <v>51.695853656317261</v>
          </cell>
          <cell r="K34">
            <v>52.155011716768797</v>
          </cell>
          <cell r="L34">
            <v>52.132243624149908</v>
          </cell>
          <cell r="M34">
            <v>52.955349476546438</v>
          </cell>
          <cell r="N34">
            <v>55.774903065744759</v>
          </cell>
          <cell r="O34">
            <v>56.854568805143643</v>
          </cell>
          <cell r="P34">
            <v>57.97956101320635</v>
          </cell>
          <cell r="Q34">
            <v>60.141887010933402</v>
          </cell>
          <cell r="R34">
            <v>59.238389687486929</v>
          </cell>
          <cell r="S34">
            <v>58.534895568874902</v>
          </cell>
          <cell r="T34">
            <v>60.684344013581949</v>
          </cell>
          <cell r="U34">
            <v>59.871920036220274</v>
          </cell>
          <cell r="V34">
            <v>62.09673849499449</v>
          </cell>
          <cell r="W34">
            <v>62.467217645449502</v>
          </cell>
          <cell r="X34">
            <v>62.934164071970471</v>
          </cell>
          <cell r="Y34">
            <v>63.373536359948467</v>
          </cell>
          <cell r="Z34">
            <v>64.171437879829256</v>
          </cell>
          <cell r="AA34">
            <v>63.420374661580929</v>
          </cell>
          <cell r="AB34">
            <v>61.724954710511689</v>
          </cell>
          <cell r="AC34">
            <v>58.672583653856613</v>
          </cell>
          <cell r="AD34">
            <v>59.568958342042166</v>
          </cell>
          <cell r="AE34">
            <v>59.670726375943254</v>
          </cell>
          <cell r="AF34">
            <v>58.111539541344513</v>
          </cell>
          <cell r="AG34">
            <v>57.422158408772866</v>
          </cell>
          <cell r="AH34">
            <v>58.511434586938989</v>
          </cell>
          <cell r="AI34">
            <v>58.734791743008714</v>
          </cell>
          <cell r="AJ34">
            <v>59.043018477683731</v>
          </cell>
          <cell r="AK34">
            <v>59.70156999921992</v>
          </cell>
          <cell r="AL34">
            <v>58.540316579509039</v>
          </cell>
          <cell r="AM34">
            <v>58.091890316220073</v>
          </cell>
          <cell r="AN34">
            <v>58.124443379886074</v>
          </cell>
          <cell r="AO34">
            <v>58.461588027513884</v>
          </cell>
          <cell r="AP34">
            <v>59.212094461312795</v>
          </cell>
          <cell r="AQ34">
            <v>60.845940575787282</v>
          </cell>
          <cell r="AR34">
            <v>60.297167319290978</v>
          </cell>
          <cell r="AS34">
            <v>58.146965770619197</v>
          </cell>
          <cell r="AT34">
            <v>58.331637096494731</v>
          </cell>
          <cell r="AU34">
            <v>57.04930943610983</v>
          </cell>
          <cell r="AV34">
            <v>57.745129282205639</v>
          </cell>
          <cell r="AW34">
            <v>57.261521066374712</v>
          </cell>
          <cell r="AX34">
            <v>57.65272479646211</v>
          </cell>
          <cell r="AY34">
            <v>57.704461158141918</v>
          </cell>
        </row>
        <row r="35">
          <cell r="D35">
            <v>40.416025694383293</v>
          </cell>
          <cell r="E35">
            <v>38.875086310073975</v>
          </cell>
          <cell r="F35">
            <v>41.123191335161088</v>
          </cell>
          <cell r="G35">
            <v>38.005771478493614</v>
          </cell>
          <cell r="H35">
            <v>35.682179246026017</v>
          </cell>
          <cell r="I35">
            <v>35.045601948119995</v>
          </cell>
          <cell r="J35">
            <v>34.112003179900753</v>
          </cell>
          <cell r="K35">
            <v>34.092964915265455</v>
          </cell>
          <cell r="L35">
            <v>34.949334637097436</v>
          </cell>
          <cell r="M35">
            <v>36.169337470353689</v>
          </cell>
          <cell r="N35">
            <v>38.349773989495965</v>
          </cell>
          <cell r="O35">
            <v>40.839509125406927</v>
          </cell>
          <cell r="P35">
            <v>44.05874146705316</v>
          </cell>
          <cell r="Q35">
            <v>47.203645823314829</v>
          </cell>
          <cell r="R35">
            <v>44.376724397513293</v>
          </cell>
          <cell r="S35">
            <v>45.738465541043986</v>
          </cell>
          <cell r="T35">
            <v>48.594545113564578</v>
          </cell>
          <cell r="U35">
            <v>49.679968867707757</v>
          </cell>
          <cell r="V35">
            <v>50.890297791266086</v>
          </cell>
          <cell r="W35">
            <v>51.796108071818857</v>
          </cell>
          <cell r="X35">
            <v>52.623421636515928</v>
          </cell>
          <cell r="Y35">
            <v>54.057276855527007</v>
          </cell>
          <cell r="Z35">
            <v>54.497964117258064</v>
          </cell>
          <cell r="AA35">
            <v>55.399685837788617</v>
          </cell>
          <cell r="AB35">
            <v>56.660890677980866</v>
          </cell>
          <cell r="AC35">
            <v>57.381459108337317</v>
          </cell>
          <cell r="AD35">
            <v>58.48371299902108</v>
          </cell>
          <cell r="AE35">
            <v>58.852569065078733</v>
          </cell>
          <cell r="AF35">
            <v>59.54949480373309</v>
          </cell>
          <cell r="AG35">
            <v>59.740966097517415</v>
          </cell>
          <cell r="AH35">
            <v>60.648215999180962</v>
          </cell>
          <cell r="AI35">
            <v>60.943606536536038</v>
          </cell>
          <cell r="AJ35">
            <v>58.80322408268416</v>
          </cell>
          <cell r="AK35">
            <v>56.655225145455425</v>
          </cell>
          <cell r="AL35">
            <v>51.589455898236892</v>
          </cell>
          <cell r="AM35">
            <v>49.527428500105373</v>
          </cell>
          <cell r="AN35">
            <v>47.763372487080439</v>
          </cell>
          <cell r="AO35">
            <v>47.561128235692088</v>
          </cell>
          <cell r="AP35">
            <v>48.005378552805205</v>
          </cell>
          <cell r="AQ35">
            <v>48.101713451670271</v>
          </cell>
          <cell r="AR35">
            <v>46.86993442329937</v>
          </cell>
          <cell r="AS35">
            <v>44.434603516494256</v>
          </cell>
          <cell r="AT35">
            <v>44.213162978868347</v>
          </cell>
          <cell r="AU35">
            <v>41.121361363697105</v>
          </cell>
          <cell r="AV35">
            <v>42.829321293854825</v>
          </cell>
          <cell r="AW35">
            <v>41.352918272757421</v>
          </cell>
          <cell r="AX35">
            <v>44.844253942415513</v>
          </cell>
          <cell r="AY35">
            <v>43.108309451363922</v>
          </cell>
        </row>
        <row r="36">
          <cell r="D36">
            <v>42.164809595062614</v>
          </cell>
          <cell r="E36">
            <v>40.815130898877726</v>
          </cell>
          <cell r="F36">
            <v>41.247529105413022</v>
          </cell>
          <cell r="G36">
            <v>39.06403192058437</v>
          </cell>
          <cell r="H36">
            <v>37.584116030427936</v>
          </cell>
          <cell r="I36">
            <v>36.890291887954767</v>
          </cell>
          <cell r="J36">
            <v>36.518968291974211</v>
          </cell>
          <cell r="K36">
            <v>36.566890860357461</v>
          </cell>
          <cell r="L36">
            <v>37.694309571783258</v>
          </cell>
          <cell r="M36">
            <v>38.611277496462279</v>
          </cell>
          <cell r="N36">
            <v>41.226536321414123</v>
          </cell>
          <cell r="O36">
            <v>42.688841105946743</v>
          </cell>
          <cell r="P36">
            <v>44.53910535337333</v>
          </cell>
          <cell r="Q36">
            <v>46.933338034800336</v>
          </cell>
          <cell r="R36">
            <v>44.823294935526683</v>
          </cell>
          <cell r="S36">
            <v>46.251191722881316</v>
          </cell>
          <cell r="T36">
            <v>48.864881603570645</v>
          </cell>
          <cell r="U36">
            <v>49.926111769883981</v>
          </cell>
          <cell r="V36">
            <v>51.387351787113879</v>
          </cell>
          <cell r="W36">
            <v>52.319395793594239</v>
          </cell>
          <cell r="X36">
            <v>53.325320647404929</v>
          </cell>
          <cell r="Y36">
            <v>55.056057590994783</v>
          </cell>
          <cell r="Z36">
            <v>55.859778131718194</v>
          </cell>
          <cell r="AA36">
            <v>57.398519156592393</v>
          </cell>
          <cell r="AB36">
            <v>59.306220692007088</v>
          </cell>
          <cell r="AC36">
            <v>61.09309988332074</v>
          </cell>
          <cell r="AD36">
            <v>62.589952740359891</v>
          </cell>
          <cell r="AE36">
            <v>63.002734179081315</v>
          </cell>
          <cell r="AF36">
            <v>63.442762061513903</v>
          </cell>
          <cell r="AG36">
            <v>63.833212867444601</v>
          </cell>
          <cell r="AH36">
            <v>64.244022271127307</v>
          </cell>
          <cell r="AI36">
            <v>64.555453993039862</v>
          </cell>
          <cell r="AJ36">
            <v>61.08867409754221</v>
          </cell>
          <cell r="AK36">
            <v>58.09956886672861</v>
          </cell>
          <cell r="AL36">
            <v>52.920534901688953</v>
          </cell>
          <cell r="AM36">
            <v>50.892118914437766</v>
          </cell>
          <cell r="AN36">
            <v>48.706258639664199</v>
          </cell>
          <cell r="AO36">
            <v>48.851960159704937</v>
          </cell>
          <cell r="AP36">
            <v>49.728800466999402</v>
          </cell>
          <cell r="AQ36">
            <v>49.286920888567835</v>
          </cell>
          <cell r="AR36">
            <v>47.133122633089926</v>
          </cell>
          <cell r="AS36">
            <v>44.715285434050791</v>
          </cell>
          <cell r="AT36">
            <v>45.310136698218265</v>
          </cell>
          <cell r="AU36">
            <v>42.723507309791962</v>
          </cell>
          <cell r="AV36">
            <v>45.738331136383138</v>
          </cell>
          <cell r="AW36">
            <v>44.029730296608619</v>
          </cell>
          <cell r="AX36">
            <v>45.748944120225602</v>
          </cell>
          <cell r="AY36">
            <v>43.777422634762438</v>
          </cell>
        </row>
        <row r="37">
          <cell r="D37">
            <v>41.764886783326475</v>
          </cell>
          <cell r="E37">
            <v>40.03138978211404</v>
          </cell>
          <cell r="F37">
            <v>39.097389088057902</v>
          </cell>
          <cell r="G37">
            <v>37.747251518614178</v>
          </cell>
          <cell r="H37">
            <v>36.592509267338166</v>
          </cell>
          <cell r="I37">
            <v>36.092968439072138</v>
          </cell>
          <cell r="J37">
            <v>35.999994933451582</v>
          </cell>
          <cell r="K37">
            <v>36.016118255961828</v>
          </cell>
          <cell r="L37">
            <v>36.804151971709835</v>
          </cell>
          <cell r="M37">
            <v>37.856608366253951</v>
          </cell>
          <cell r="N37">
            <v>39.005663053032521</v>
          </cell>
          <cell r="O37">
            <v>40.28592599515121</v>
          </cell>
          <cell r="P37">
            <v>44.394948286377776</v>
          </cell>
          <cell r="Q37">
            <v>46.246219402533505</v>
          </cell>
          <cell r="R37">
            <v>45.527437762380593</v>
          </cell>
          <cell r="S37">
            <v>47.989621167765634</v>
          </cell>
          <cell r="T37">
            <v>51.907084171393045</v>
          </cell>
          <cell r="U37">
            <v>53.799935969032546</v>
          </cell>
          <cell r="V37">
            <v>54.818873969644642</v>
          </cell>
          <cell r="W37">
            <v>56.325238833083986</v>
          </cell>
          <cell r="X37">
            <v>56.089153589822487</v>
          </cell>
          <cell r="Y37">
            <v>58.205710116288373</v>
          </cell>
          <cell r="Z37">
            <v>59.131831101851134</v>
          </cell>
          <cell r="AA37">
            <v>61.796793744095972</v>
          </cell>
          <cell r="AB37">
            <v>63.819514916198528</v>
          </cell>
          <cell r="AC37">
            <v>65.678012725179713</v>
          </cell>
          <cell r="AD37">
            <v>68.737990169227331</v>
          </cell>
          <cell r="AE37">
            <v>69.092893037671445</v>
          </cell>
          <cell r="AF37">
            <v>69.71026785223475</v>
          </cell>
          <cell r="AG37">
            <v>68.0462567373132</v>
          </cell>
          <cell r="AH37">
            <v>69.533722947853818</v>
          </cell>
          <cell r="AI37">
            <v>69.068627244847875</v>
          </cell>
          <cell r="AJ37">
            <v>65.67934033813988</v>
          </cell>
          <cell r="AK37">
            <v>63.428193837027678</v>
          </cell>
          <cell r="AL37">
            <v>57.442902446881398</v>
          </cell>
          <cell r="AM37">
            <v>54.517985970489214</v>
          </cell>
          <cell r="AN37">
            <v>51.942863876028376</v>
          </cell>
          <cell r="AO37">
            <v>55.292339342984214</v>
          </cell>
          <cell r="AP37">
            <v>55.654142179617281</v>
          </cell>
          <cell r="AQ37">
            <v>53.114583172339472</v>
          </cell>
          <cell r="AR37">
            <v>49.466248918705674</v>
          </cell>
          <cell r="AS37">
            <v>46.93771752044573</v>
          </cell>
          <cell r="AT37">
            <v>47.508519269900823</v>
          </cell>
          <cell r="AU37">
            <v>43.227636647880132</v>
          </cell>
          <cell r="AV37">
            <v>47.973040245354625</v>
          </cell>
          <cell r="AW37">
            <v>46.643875884234482</v>
          </cell>
          <cell r="AX37">
            <v>46.519197732739343</v>
          </cell>
          <cell r="AY37">
            <v>43.341905098013747</v>
          </cell>
        </row>
        <row r="38">
          <cell r="D38">
            <v>45.533956262709751</v>
          </cell>
          <cell r="E38">
            <v>44.333761006523432</v>
          </cell>
          <cell r="F38">
            <v>43.868921138999262</v>
          </cell>
          <cell r="G38">
            <v>40.008827852840454</v>
          </cell>
          <cell r="H38">
            <v>37.109280367195353</v>
          </cell>
          <cell r="I38">
            <v>36.376810448570652</v>
          </cell>
          <cell r="J38">
            <v>34.72115210677525</v>
          </cell>
          <cell r="K38">
            <v>34.238374728528889</v>
          </cell>
          <cell r="L38">
            <v>35.773958554321744</v>
          </cell>
          <cell r="M38">
            <v>37.540292728971806</v>
          </cell>
          <cell r="N38">
            <v>40.067399696059873</v>
          </cell>
          <cell r="O38">
            <v>42.475337102989641</v>
          </cell>
          <cell r="P38">
            <v>45.443484025768846</v>
          </cell>
          <cell r="Q38">
            <v>49.418540576789809</v>
          </cell>
          <cell r="R38">
            <v>47.908648634455048</v>
          </cell>
          <cell r="S38">
            <v>48.572376565336569</v>
          </cell>
          <cell r="T38">
            <v>51.792734701981445</v>
          </cell>
          <cell r="U38">
            <v>53.374205428874767</v>
          </cell>
          <cell r="V38">
            <v>54.461606439634593</v>
          </cell>
          <cell r="W38">
            <v>55.982626912870721</v>
          </cell>
          <cell r="X38">
            <v>56.929198678190211</v>
          </cell>
          <cell r="Y38">
            <v>58.044536483684382</v>
          </cell>
          <cell r="Z38">
            <v>59.581534570607126</v>
          </cell>
          <cell r="AA38">
            <v>60.008895105778684</v>
          </cell>
          <cell r="AB38">
            <v>62.45009702925919</v>
          </cell>
          <cell r="AC38">
            <v>64.265904845800762</v>
          </cell>
          <cell r="AD38">
            <v>65.307390101995765</v>
          </cell>
          <cell r="AE38">
            <v>66.970061508431982</v>
          </cell>
          <cell r="AF38">
            <v>67.230648431973037</v>
          </cell>
          <cell r="AG38">
            <v>67.594288489541427</v>
          </cell>
          <cell r="AH38">
            <v>69.610135487182788</v>
          </cell>
          <cell r="AI38">
            <v>70.022404728370034</v>
          </cell>
          <cell r="AJ38">
            <v>67.498459342895544</v>
          </cell>
          <cell r="AK38">
            <v>64.844586820817909</v>
          </cell>
          <cell r="AL38">
            <v>60.109319343935283</v>
          </cell>
          <cell r="AM38">
            <v>56.615981335154537</v>
          </cell>
          <cell r="AN38">
            <v>54.502749521575751</v>
          </cell>
          <cell r="AO38">
            <v>53.822682473372787</v>
          </cell>
          <cell r="AP38">
            <v>53.203604823436834</v>
          </cell>
          <cell r="AQ38">
            <v>53.117941482710798</v>
          </cell>
          <cell r="AR38">
            <v>51.90958188702372</v>
          </cell>
          <cell r="AS38">
            <v>50.055098704613791</v>
          </cell>
          <cell r="AT38">
            <v>49.415357479840992</v>
          </cell>
          <cell r="AU38">
            <v>45.640957961305411</v>
          </cell>
          <cell r="AV38">
            <v>46.710167209092553</v>
          </cell>
          <cell r="AW38">
            <v>45.047763052930513</v>
          </cell>
          <cell r="AX38">
            <v>47.51652430789936</v>
          </cell>
          <cell r="AY38">
            <v>49.062896993718034</v>
          </cell>
        </row>
        <row r="39">
          <cell r="D39">
            <v>56.110823246450323</v>
          </cell>
          <cell r="E39">
            <v>54.876619976543012</v>
          </cell>
          <cell r="F39">
            <v>55.545987635703717</v>
          </cell>
          <cell r="G39">
            <v>54.499557174120248</v>
          </cell>
          <cell r="H39">
            <v>52.639831507697643</v>
          </cell>
          <cell r="I39">
            <v>52.166263513940244</v>
          </cell>
          <cell r="J39">
            <v>51.695853656317261</v>
          </cell>
          <cell r="K39">
            <v>52.155011716768797</v>
          </cell>
          <cell r="L39">
            <v>52.132243624149908</v>
          </cell>
          <cell r="M39">
            <v>52.955349476546438</v>
          </cell>
          <cell r="N39">
            <v>55.805739765744761</v>
          </cell>
          <cell r="O39">
            <v>56.953315205143646</v>
          </cell>
          <cell r="P39">
            <v>58.012366013206353</v>
          </cell>
          <cell r="Q39">
            <v>60.1548870109334</v>
          </cell>
          <cell r="R39">
            <v>59.238389687486929</v>
          </cell>
          <cell r="S39">
            <v>58.534895568874902</v>
          </cell>
          <cell r="T39">
            <v>60.727909053581939</v>
          </cell>
          <cell r="U39">
            <v>59.978864336220283</v>
          </cell>
          <cell r="V39">
            <v>62.258139094994483</v>
          </cell>
          <cell r="W39">
            <v>62.627962145449516</v>
          </cell>
          <cell r="X39">
            <v>63.202184271970459</v>
          </cell>
          <cell r="Y39">
            <v>63.582701039948461</v>
          </cell>
          <cell r="Z39">
            <v>64.381258659829257</v>
          </cell>
          <cell r="AA39">
            <v>63.573574011580938</v>
          </cell>
          <cell r="AB39">
            <v>61.918963480511671</v>
          </cell>
          <cell r="AC39">
            <v>58.787138713856613</v>
          </cell>
          <cell r="AD39">
            <v>59.669866522042156</v>
          </cell>
          <cell r="AE39">
            <v>59.771634555943244</v>
          </cell>
          <cell r="AF39">
            <v>58.296103821344516</v>
          </cell>
          <cell r="AG39">
            <v>57.555823908772858</v>
          </cell>
          <cell r="AH39">
            <v>58.72951097693899</v>
          </cell>
          <cell r="AI39">
            <v>58.971118963008713</v>
          </cell>
          <cell r="AJ39">
            <v>59.251333577683731</v>
          </cell>
          <cell r="AK39">
            <v>59.826228999219921</v>
          </cell>
          <cell r="AL39">
            <v>58.655593349509026</v>
          </cell>
          <cell r="AM39">
            <v>58.185056516220065</v>
          </cell>
          <cell r="AN39">
            <v>58.213672979886084</v>
          </cell>
          <cell r="AO39">
            <v>58.526541927513875</v>
          </cell>
          <cell r="AP39">
            <v>59.266550761312793</v>
          </cell>
          <cell r="AQ39">
            <v>60.90039687578728</v>
          </cell>
          <cell r="AR39">
            <v>60.351623619290962</v>
          </cell>
          <cell r="AS39">
            <v>58.178458570619213</v>
          </cell>
          <cell r="AT39">
            <v>58.340822496494731</v>
          </cell>
          <cell r="AU39">
            <v>57.04930943610983</v>
          </cell>
          <cell r="AV39">
            <v>57.827129282205632</v>
          </cell>
          <cell r="AW39">
            <v>57.426521066374711</v>
          </cell>
          <cell r="AX39">
            <v>57.735724796462115</v>
          </cell>
          <cell r="AY39">
            <v>57.704461158141918</v>
          </cell>
        </row>
        <row r="40">
          <cell r="D40">
            <v>40.416025694383293</v>
          </cell>
          <cell r="E40">
            <v>38.92888651007398</v>
          </cell>
          <cell r="F40">
            <v>41.162411680961085</v>
          </cell>
          <cell r="G40">
            <v>38.005771478493614</v>
          </cell>
          <cell r="H40">
            <v>35.682179246026017</v>
          </cell>
          <cell r="I40">
            <v>35.045601948119995</v>
          </cell>
          <cell r="J40">
            <v>34.112003179900753</v>
          </cell>
          <cell r="K40">
            <v>34.092964915265455</v>
          </cell>
          <cell r="L40">
            <v>34.949334637097436</v>
          </cell>
          <cell r="M40">
            <v>36.169337470353689</v>
          </cell>
          <cell r="N40">
            <v>38.349773989495965</v>
          </cell>
          <cell r="O40">
            <v>40.839509125406927</v>
          </cell>
          <cell r="P40">
            <v>44.098440109753156</v>
          </cell>
          <cell r="Q40">
            <v>47.203645823314829</v>
          </cell>
          <cell r="R40">
            <v>44.376724397513293</v>
          </cell>
          <cell r="S40">
            <v>45.792265741043991</v>
          </cell>
          <cell r="T40">
            <v>48.663470440586053</v>
          </cell>
          <cell r="U40">
            <v>49.811384589699195</v>
          </cell>
          <cell r="V40">
            <v>51.028556942794019</v>
          </cell>
          <cell r="W40">
            <v>52.023371097672701</v>
          </cell>
          <cell r="X40">
            <v>52.922240602063212</v>
          </cell>
          <cell r="Y40">
            <v>54.450097683137813</v>
          </cell>
          <cell r="Z40">
            <v>54.905183738705361</v>
          </cell>
          <cell r="AA40">
            <v>55.996285057047928</v>
          </cell>
          <cell r="AB40">
            <v>57.434818095635471</v>
          </cell>
          <cell r="AC40">
            <v>58.429009763347537</v>
          </cell>
          <cell r="AD40">
            <v>59.65062237297861</v>
          </cell>
          <cell r="AE40">
            <v>60.163863939398141</v>
          </cell>
          <cell r="AF40">
            <v>61.197937890971772</v>
          </cell>
          <cell r="AG40">
            <v>61.700855736622579</v>
          </cell>
          <cell r="AH40">
            <v>62.913964912686879</v>
          </cell>
          <cell r="AI40">
            <v>63.414892748541192</v>
          </cell>
          <cell r="AJ40">
            <v>60.665223521657943</v>
          </cell>
          <cell r="AK40">
            <v>58.020604035143521</v>
          </cell>
          <cell r="AL40">
            <v>51.960801993869268</v>
          </cell>
          <cell r="AM40">
            <v>49.71892575138866</v>
          </cell>
          <cell r="AN40">
            <v>47.955654652136651</v>
          </cell>
          <cell r="AO40">
            <v>47.653460387220015</v>
          </cell>
          <cell r="AP40">
            <v>48.065083652805214</v>
          </cell>
          <cell r="AQ40">
            <v>48.184169751670282</v>
          </cell>
          <cell r="AR40">
            <v>46.948180909299367</v>
          </cell>
          <cell r="AS40">
            <v>44.445897449786102</v>
          </cell>
          <cell r="AT40">
            <v>44.224316678868348</v>
          </cell>
          <cell r="AU40">
            <v>41.121361363697105</v>
          </cell>
          <cell r="AV40">
            <v>42.85276294538275</v>
          </cell>
          <cell r="AW40">
            <v>41.352918272757421</v>
          </cell>
          <cell r="AX40">
            <v>44.844253942415513</v>
          </cell>
          <cell r="AY40">
            <v>43.108309451363922</v>
          </cell>
        </row>
      </sheetData>
      <sheetData sheetId="2">
        <row r="7">
          <cell r="I7">
            <v>1895.51</v>
          </cell>
        </row>
        <row r="8">
          <cell r="L8">
            <v>1.1365358879173093</v>
          </cell>
        </row>
        <row r="11">
          <cell r="L11">
            <v>1</v>
          </cell>
        </row>
        <row r="14">
          <cell r="L14">
            <v>1</v>
          </cell>
        </row>
        <row r="17">
          <cell r="L17">
            <v>0.81902917322441238</v>
          </cell>
        </row>
        <row r="20">
          <cell r="L20">
            <v>0.83720191611789996</v>
          </cell>
        </row>
        <row r="22">
          <cell r="E22">
            <v>0</v>
          </cell>
          <cell r="I22">
            <v>0</v>
          </cell>
        </row>
        <row r="23">
          <cell r="E23">
            <v>0</v>
          </cell>
          <cell r="I23">
            <v>1000</v>
          </cell>
          <cell r="L23">
            <v>0.84746917157387536</v>
          </cell>
        </row>
        <row r="29">
          <cell r="L29">
            <v>1</v>
          </cell>
        </row>
        <row r="32">
          <cell r="L32">
            <v>1</v>
          </cell>
        </row>
        <row r="35">
          <cell r="L35">
            <v>1</v>
          </cell>
        </row>
        <row r="38">
          <cell r="L38">
            <v>0.76773740532597301</v>
          </cell>
        </row>
        <row r="41">
          <cell r="L41">
            <v>0.80076072713458157</v>
          </cell>
        </row>
        <row r="43">
          <cell r="E43">
            <v>0</v>
          </cell>
          <cell r="I43">
            <v>0</v>
          </cell>
        </row>
        <row r="44">
          <cell r="E44">
            <v>0</v>
          </cell>
          <cell r="I44">
            <v>0</v>
          </cell>
          <cell r="L44">
            <v>0.81738217337764296</v>
          </cell>
        </row>
        <row r="50">
          <cell r="L50">
            <v>1</v>
          </cell>
        </row>
        <row r="53">
          <cell r="L53">
            <v>1</v>
          </cell>
        </row>
        <row r="56">
          <cell r="L56">
            <v>1</v>
          </cell>
        </row>
        <row r="59">
          <cell r="L59">
            <v>0.73667817782053169</v>
          </cell>
        </row>
        <row r="62">
          <cell r="L62">
            <v>0.75844090007306941</v>
          </cell>
        </row>
        <row r="64">
          <cell r="E64">
            <v>0</v>
          </cell>
          <cell r="I64">
            <v>0</v>
          </cell>
        </row>
        <row r="65">
          <cell r="E65">
            <v>0</v>
          </cell>
          <cell r="I65">
            <v>0</v>
          </cell>
          <cell r="L65">
            <v>0.76937445214727784</v>
          </cell>
        </row>
        <row r="71">
          <cell r="L71">
            <v>1</v>
          </cell>
        </row>
        <row r="74">
          <cell r="L74">
            <v>1</v>
          </cell>
        </row>
        <row r="77">
          <cell r="L77">
            <v>1</v>
          </cell>
        </row>
        <row r="80">
          <cell r="L80">
            <v>0.95385542496302111</v>
          </cell>
        </row>
        <row r="83">
          <cell r="L83">
            <v>0.95867194272722611</v>
          </cell>
        </row>
        <row r="85">
          <cell r="E85">
            <v>0</v>
          </cell>
          <cell r="I85">
            <v>0</v>
          </cell>
        </row>
        <row r="86">
          <cell r="E86">
            <v>0</v>
          </cell>
          <cell r="I86">
            <v>0</v>
          </cell>
          <cell r="L86">
            <v>0.96013308315869095</v>
          </cell>
        </row>
        <row r="92">
          <cell r="L92">
            <v>1</v>
          </cell>
        </row>
        <row r="95">
          <cell r="L95">
            <v>1</v>
          </cell>
        </row>
        <row r="98">
          <cell r="L98">
            <v>1</v>
          </cell>
        </row>
        <row r="101">
          <cell r="L101">
            <v>0.84629010345705735</v>
          </cell>
        </row>
        <row r="104">
          <cell r="L104">
            <v>0.86246590707250048</v>
          </cell>
        </row>
        <row r="106">
          <cell r="E106">
            <v>0</v>
          </cell>
          <cell r="I106">
            <v>0</v>
          </cell>
        </row>
        <row r="107">
          <cell r="E107">
            <v>0</v>
          </cell>
          <cell r="I107">
            <v>0</v>
          </cell>
          <cell r="L107">
            <v>0.87072500223139648</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67"/>
  <sheetViews>
    <sheetView showGridLines="0" tabSelected="1" view="pageLayout" zoomScale="70" zoomScaleNormal="85" zoomScaleSheetLayoutView="85" zoomScalePageLayoutView="70" workbookViewId="0">
      <selection activeCell="D46" sqref="D46"/>
    </sheetView>
  </sheetViews>
  <sheetFormatPr defaultColWidth="0" defaultRowHeight="15" zeroHeight="1" x14ac:dyDescent="0.25"/>
  <cols>
    <col min="1" max="1" width="2.5703125" customWidth="1"/>
    <col min="2" max="2" width="1.42578125" customWidth="1"/>
    <col min="3" max="3" width="8.140625" style="27" bestFit="1" customWidth="1"/>
    <col min="4" max="4" width="14" customWidth="1"/>
    <col min="5" max="8" width="12.5703125" customWidth="1"/>
    <col min="9" max="9" width="22.28515625" customWidth="1"/>
    <col min="10" max="10" width="2.28515625" customWidth="1"/>
    <col min="11" max="11" width="2.140625" customWidth="1"/>
    <col min="12" max="12" width="11.28515625" bestFit="1" customWidth="1"/>
    <col min="13" max="17" width="12.5703125" customWidth="1"/>
    <col min="18" max="18" width="22.42578125" customWidth="1"/>
    <col min="19" max="20" width="2.28515625" customWidth="1"/>
    <col min="21" max="21" width="9.140625" customWidth="1"/>
    <col min="22" max="16384" width="9.140625" hidden="1"/>
  </cols>
  <sheetData>
    <row r="1" spans="1:20" ht="6.75" customHeight="1" x14ac:dyDescent="0.25"/>
    <row r="2" spans="1:20" ht="36" x14ac:dyDescent="0.55000000000000004">
      <c r="A2" s="145" t="str">
        <f>"Maximum Credit Limit (MCL) Calculator for "&amp;UPPER(MID(RegionalData!D2,15,2^20))</f>
        <v>Maximum Credit Limit (MCL) Calculator for [SHOULDER] [2014]</v>
      </c>
    </row>
    <row r="3" spans="1:20" ht="5.25" customHeight="1" x14ac:dyDescent="0.25">
      <c r="A3" s="34"/>
      <c r="B3" s="34"/>
      <c r="C3" s="55"/>
      <c r="D3" s="34"/>
      <c r="E3" s="34"/>
      <c r="F3" s="34"/>
      <c r="G3" s="34"/>
      <c r="H3" s="34"/>
      <c r="I3" s="34"/>
      <c r="J3" s="34"/>
      <c r="K3" s="34"/>
      <c r="L3" s="34"/>
      <c r="M3" s="34"/>
      <c r="N3" s="34"/>
      <c r="O3" s="34"/>
      <c r="P3" s="34"/>
      <c r="Q3" s="34"/>
      <c r="R3" s="34"/>
      <c r="S3" s="34"/>
      <c r="T3" s="34"/>
    </row>
    <row r="4" spans="1:20" ht="7.5" customHeight="1" x14ac:dyDescent="0.25"/>
    <row r="5" spans="1:20" s="136" customFormat="1" x14ac:dyDescent="0.25">
      <c r="C5" s="112"/>
      <c r="M5" s="137" t="s">
        <v>0</v>
      </c>
      <c r="N5" s="137" t="s">
        <v>1</v>
      </c>
      <c r="O5" s="137" t="s">
        <v>2</v>
      </c>
      <c r="P5" s="137" t="s">
        <v>3</v>
      </c>
      <c r="Q5" s="137" t="s">
        <v>4</v>
      </c>
    </row>
    <row r="6" spans="1:20" s="136" customFormat="1" ht="18" x14ac:dyDescent="0.35">
      <c r="C6" s="112"/>
      <c r="L6" s="138" t="s">
        <v>95</v>
      </c>
      <c r="M6" s="147">
        <f>NSW_P</f>
        <v>34.71</v>
      </c>
      <c r="N6" s="147">
        <f>QLD_P</f>
        <v>31.88</v>
      </c>
      <c r="O6" s="147">
        <f>SA_P</f>
        <v>36.96</v>
      </c>
      <c r="P6" s="147">
        <f>TAS_P</f>
        <v>38.130000000000003</v>
      </c>
      <c r="Q6" s="147">
        <f>VIC_P</f>
        <v>31.05</v>
      </c>
    </row>
    <row r="7" spans="1:20" s="136" customFormat="1" ht="18" x14ac:dyDescent="0.35">
      <c r="C7" s="112"/>
      <c r="E7" s="139" t="s">
        <v>96</v>
      </c>
      <c r="F7" s="139" t="s">
        <v>97</v>
      </c>
      <c r="G7" s="139" t="s">
        <v>14</v>
      </c>
      <c r="L7" s="138" t="s">
        <v>98</v>
      </c>
      <c r="M7" s="147">
        <f>NSW_VFOSL</f>
        <v>1.5</v>
      </c>
      <c r="N7" s="147">
        <f>QLD_VFOSL</f>
        <v>1.5</v>
      </c>
      <c r="O7" s="147">
        <f>SA_VFOSL</f>
        <v>1.7</v>
      </c>
      <c r="P7" s="147">
        <f>TAS_VFOSL</f>
        <v>1.1200000000000001</v>
      </c>
      <c r="Q7" s="147">
        <f>VIC_VFOSL</f>
        <v>1.33</v>
      </c>
    </row>
    <row r="8" spans="1:20" s="136" customFormat="1" ht="18" x14ac:dyDescent="0.35">
      <c r="C8" s="112"/>
      <c r="E8" s="140">
        <v>35</v>
      </c>
      <c r="F8" s="140">
        <v>7</v>
      </c>
      <c r="G8" s="141">
        <v>0.1</v>
      </c>
      <c r="L8" s="138" t="s">
        <v>99</v>
      </c>
      <c r="M8" s="147">
        <f>NSW_VFPM</f>
        <v>1.31</v>
      </c>
      <c r="N8" s="147">
        <f>QLD_VFPM</f>
        <v>1.88</v>
      </c>
      <c r="O8" s="147">
        <f>SA_VFPM</f>
        <v>2.02</v>
      </c>
      <c r="P8" s="147">
        <f>TAS_VFPM</f>
        <v>1.07</v>
      </c>
      <c r="Q8" s="147">
        <f>VIC_VFPM</f>
        <v>1.57</v>
      </c>
    </row>
    <row r="9" spans="1:20" s="136" customFormat="1" x14ac:dyDescent="0.25">
      <c r="C9" s="112"/>
      <c r="M9" s="146" t="s">
        <v>132</v>
      </c>
    </row>
    <row r="10" spans="1:20" ht="11.25" customHeight="1" x14ac:dyDescent="0.25"/>
    <row r="11" spans="1:20" ht="5.25" customHeight="1" x14ac:dyDescent="0.35">
      <c r="B11" s="39"/>
      <c r="C11" s="54"/>
      <c r="D11" s="50"/>
      <c r="E11" s="50"/>
      <c r="F11" s="50"/>
      <c r="G11" s="50"/>
      <c r="H11" s="50"/>
      <c r="I11" s="50"/>
      <c r="J11" s="50"/>
      <c r="K11" s="50"/>
      <c r="L11" s="50"/>
      <c r="M11" s="50"/>
      <c r="N11" s="50"/>
      <c r="O11" s="50"/>
      <c r="P11" s="50"/>
      <c r="Q11" s="50"/>
      <c r="R11" s="50"/>
      <c r="S11" s="40"/>
    </row>
    <row r="12" spans="1:20" ht="31.5" x14ac:dyDescent="0.5">
      <c r="B12" s="28"/>
      <c r="C12" s="41"/>
      <c r="D12" s="51"/>
      <c r="E12" s="51"/>
      <c r="F12" s="51"/>
      <c r="G12" s="51"/>
      <c r="H12" s="32"/>
      <c r="I12" s="123" t="s">
        <v>26</v>
      </c>
      <c r="J12" s="179">
        <f>MAX(0,R42+I42)</f>
        <v>0</v>
      </c>
      <c r="K12" s="180"/>
      <c r="L12" s="180"/>
      <c r="M12" s="181"/>
      <c r="N12" s="122"/>
      <c r="R12" s="32"/>
      <c r="S12" s="29"/>
    </row>
    <row r="13" spans="1:20" ht="5.25" customHeight="1" x14ac:dyDescent="0.25">
      <c r="B13" s="33"/>
      <c r="C13" s="55"/>
      <c r="D13" s="34"/>
      <c r="E13" s="34"/>
      <c r="F13" s="34"/>
      <c r="G13" s="34"/>
      <c r="H13" s="34"/>
      <c r="I13" s="34"/>
      <c r="J13" s="34"/>
      <c r="K13" s="34"/>
      <c r="L13" s="34"/>
      <c r="M13" s="34"/>
      <c r="N13" s="34"/>
      <c r="O13" s="34"/>
      <c r="P13" s="34"/>
      <c r="Q13" s="34"/>
      <c r="R13" s="34"/>
      <c r="S13" s="35"/>
    </row>
    <row r="14" spans="1:20" s="48" customFormat="1" ht="26.25" x14ac:dyDescent="0.4">
      <c r="B14" s="62"/>
      <c r="C14" s="63" t="s">
        <v>23</v>
      </c>
      <c r="D14" s="63"/>
      <c r="E14" s="63"/>
      <c r="F14" s="63"/>
      <c r="G14" s="63"/>
      <c r="H14" s="63"/>
      <c r="I14" s="63"/>
      <c r="J14" s="64"/>
      <c r="K14" s="62"/>
      <c r="L14" s="63" t="s">
        <v>27</v>
      </c>
      <c r="M14" s="63"/>
      <c r="N14" s="63"/>
      <c r="O14" s="63"/>
      <c r="P14" s="63"/>
      <c r="Q14" s="63"/>
      <c r="R14" s="63"/>
      <c r="S14" s="64"/>
    </row>
    <row r="15" spans="1:20" s="1" customFormat="1" ht="9" customHeight="1" x14ac:dyDescent="0.3">
      <c r="B15" s="42"/>
      <c r="C15" s="52"/>
      <c r="D15" s="44"/>
      <c r="E15" s="44"/>
      <c r="F15" s="44"/>
      <c r="G15" s="44"/>
      <c r="H15" s="44"/>
      <c r="I15" s="44"/>
      <c r="J15" s="45"/>
      <c r="K15" s="42"/>
      <c r="L15" s="43"/>
      <c r="M15" s="44"/>
      <c r="N15" s="44"/>
      <c r="O15" s="44"/>
      <c r="P15" s="44"/>
      <c r="Q15" s="44"/>
      <c r="R15" s="44"/>
      <c r="S15" s="45"/>
    </row>
    <row r="16" spans="1:20" x14ac:dyDescent="0.25">
      <c r="B16" s="28"/>
      <c r="C16" s="41"/>
      <c r="D16" s="76" t="s">
        <v>0</v>
      </c>
      <c r="E16" s="76" t="s">
        <v>1</v>
      </c>
      <c r="F16" s="76" t="s">
        <v>2</v>
      </c>
      <c r="G16" s="76" t="s">
        <v>3</v>
      </c>
      <c r="H16" s="76" t="s">
        <v>4</v>
      </c>
      <c r="I16" s="65" t="s">
        <v>28</v>
      </c>
      <c r="J16" s="29"/>
      <c r="K16" s="28"/>
      <c r="L16" s="32"/>
      <c r="M16" s="76" t="s">
        <v>0</v>
      </c>
      <c r="N16" s="76" t="s">
        <v>1</v>
      </c>
      <c r="O16" s="76" t="s">
        <v>2</v>
      </c>
      <c r="P16" s="76" t="s">
        <v>3</v>
      </c>
      <c r="Q16" s="76" t="s">
        <v>4</v>
      </c>
      <c r="R16" s="65" t="s">
        <v>28</v>
      </c>
      <c r="S16" s="29"/>
    </row>
    <row r="17" spans="2:19" ht="18" x14ac:dyDescent="0.35">
      <c r="B17" s="28"/>
      <c r="C17" s="175" t="s">
        <v>124</v>
      </c>
      <c r="D17" s="13">
        <f>NSW_EL*NSW_P*NSW_PRAFL*NSW_VFOSL*(GST+1)</f>
        <v>0</v>
      </c>
      <c r="E17" s="14">
        <f>QLD_EL*QLD_P*QLD_PRAFL*QLD_VFOSL*(GST+1)</f>
        <v>0</v>
      </c>
      <c r="F17" s="14">
        <f>SA_EL*SA_P*SA_PRAFL*SA_VFOSL*(GST+1)</f>
        <v>0</v>
      </c>
      <c r="G17" s="14">
        <f>TAS_EL*TAS_P*TAS_PRAFL*TAS_VFOSL*(GST+1)</f>
        <v>0</v>
      </c>
      <c r="H17" s="15">
        <f>VIC_EL*VIC_P*VIC_PRAFL*VIC_VFOSL*(GST+1)</f>
        <v>0</v>
      </c>
      <c r="I17" s="32"/>
      <c r="J17" s="29"/>
      <c r="K17" s="28"/>
      <c r="L17" s="47" t="s">
        <v>15</v>
      </c>
      <c r="M17" s="13">
        <f>NSW_EL*NSW_P*NSW_PRAFL*NSW_VFPM*(GST+1)</f>
        <v>0</v>
      </c>
      <c r="N17" s="14">
        <f>QLD_EL*QLD_P*QLD_PRAFL*QLD_VFPM*(GST+1)</f>
        <v>0</v>
      </c>
      <c r="O17" s="14">
        <f>SA_EL*SA_P*SA_PRAFL*SA_VFPM*(GST+1)</f>
        <v>0</v>
      </c>
      <c r="P17" s="14">
        <f>TAS_EL*TAS_P*TAS_PRAFL*TAS_VFPM*(GST+1)</f>
        <v>0</v>
      </c>
      <c r="Q17" s="15">
        <f>VIC_EL*VIC_P*VIC_PRAFL*VIC_VFPM*(GST+1)</f>
        <v>0</v>
      </c>
      <c r="R17" s="32"/>
      <c r="S17" s="29"/>
    </row>
    <row r="18" spans="2:19" ht="18" x14ac:dyDescent="0.35">
      <c r="B18" s="28"/>
      <c r="C18" s="175" t="s">
        <v>125</v>
      </c>
      <c r="D18" s="19">
        <f>NSW_EG*NSW_P*NSW_PRAFG*NSW_VFOSL*(GST+1)</f>
        <v>0</v>
      </c>
      <c r="E18" s="20">
        <f>QLD_EG*QLD_P*QLD_PRAFG*QLD_VFOSL*(GST+1)</f>
        <v>0</v>
      </c>
      <c r="F18" s="20">
        <f>SA_EG*SA_P*SA_PRAFG*SA_VFOSL*(GST+1)</f>
        <v>0</v>
      </c>
      <c r="G18" s="20">
        <f>TAS_EG*TAS_P*TAS_PRAFG*TAS_VFOSL*(GST+1)</f>
        <v>0</v>
      </c>
      <c r="H18" s="21">
        <f>VIC_EG*VIC_P*VIC_PRAFG*VIC_VFOSL*(GST+1)</f>
        <v>0</v>
      </c>
      <c r="I18" s="32"/>
      <c r="J18" s="29"/>
      <c r="K18" s="28"/>
      <c r="L18" s="47" t="s">
        <v>16</v>
      </c>
      <c r="M18" s="19">
        <f>NSW_EG*NSW_P*NSW_PRAFG*NSW_VFPM*(GST+1)</f>
        <v>0</v>
      </c>
      <c r="N18" s="20">
        <f>QLD_EG*QLD_P*QLD_PRAFG*QLD_VFPM*(GST+1)</f>
        <v>0</v>
      </c>
      <c r="O18" s="20">
        <f>SA_EG*SA_P*SA_PRAFG*SA_VFPM*(GST+1)</f>
        <v>0</v>
      </c>
      <c r="P18" s="20">
        <f>TAS_EG*TAS_P*TAS_PRAFG*TAS_VFPM*(GST+1)</f>
        <v>0</v>
      </c>
      <c r="Q18" s="21">
        <f>VIC_EG*VIC_P*VIC_PRAFG*VIC_VFPM*(GST+1)</f>
        <v>0</v>
      </c>
      <c r="R18" s="32"/>
      <c r="S18" s="29"/>
    </row>
    <row r="19" spans="2:19" x14ac:dyDescent="0.25">
      <c r="B19" s="28"/>
      <c r="C19" s="175"/>
      <c r="D19" s="32"/>
      <c r="E19" s="32"/>
      <c r="F19" s="32"/>
      <c r="G19" s="32"/>
      <c r="H19" s="32"/>
      <c r="I19" s="32"/>
      <c r="J19" s="29"/>
      <c r="K19" s="28"/>
      <c r="L19" s="47"/>
      <c r="M19" s="32"/>
      <c r="N19" s="32"/>
      <c r="O19" s="32"/>
      <c r="P19" s="32"/>
      <c r="Q19" s="32"/>
      <c r="R19" s="32"/>
      <c r="S19" s="29"/>
    </row>
    <row r="20" spans="2:19" x14ac:dyDescent="0.25">
      <c r="B20" s="28"/>
      <c r="C20" s="173"/>
      <c r="D20" s="57" t="s">
        <v>17</v>
      </c>
      <c r="E20" s="58"/>
      <c r="F20" s="58"/>
      <c r="G20" s="58"/>
      <c r="H20" s="59"/>
      <c r="I20" s="32"/>
      <c r="J20" s="29"/>
      <c r="K20" s="28"/>
      <c r="L20" s="32"/>
      <c r="M20" s="57" t="s">
        <v>17</v>
      </c>
      <c r="N20" s="58"/>
      <c r="O20" s="58"/>
      <c r="P20" s="58"/>
      <c r="Q20" s="59"/>
      <c r="R20" s="32"/>
      <c r="S20" s="29"/>
    </row>
    <row r="21" spans="2:19" x14ac:dyDescent="0.25">
      <c r="B21" s="28"/>
      <c r="C21" s="174" t="s">
        <v>18</v>
      </c>
      <c r="D21" s="6">
        <f>NSW_RD*NSW_P*NSW_PRAFR*NSW_VFOSL</f>
        <v>0</v>
      </c>
      <c r="E21" s="7">
        <f>QLD_RD*QLD_P*QLD_PRAFR*QLD_VFOSL</f>
        <v>0</v>
      </c>
      <c r="F21" s="7">
        <f>SA_RD*SA_P*SA_PRAFR*SA_VFOSL</f>
        <v>0</v>
      </c>
      <c r="G21" s="7">
        <f>TAS_RD*TAS_P*TAS_PRAFR*TAS_VFOSL</f>
        <v>0</v>
      </c>
      <c r="H21" s="56">
        <f>VIC_RD*VIC_P*VIC_PRAFR*VIC_VFOSL</f>
        <v>0</v>
      </c>
      <c r="I21" s="32"/>
      <c r="J21" s="29"/>
      <c r="K21" s="28"/>
      <c r="L21" s="41" t="s">
        <v>18</v>
      </c>
      <c r="M21" s="6">
        <f>NSW_RD*NSW_P*NSW_PRAFR*NSW_VFPM</f>
        <v>0</v>
      </c>
      <c r="N21" s="7">
        <f>QLD_RD*QLD_P*QLD_PRAFR*QLD_VFPM</f>
        <v>0</v>
      </c>
      <c r="O21" s="7">
        <f>SA_RD*SA_P*SA_PRAFR*SA_VFPM</f>
        <v>0</v>
      </c>
      <c r="P21" s="7">
        <f>TAS_RD*TAS_P*TAS_PRAFR*TAS_VFPM</f>
        <v>0</v>
      </c>
      <c r="Q21" s="56">
        <f>VIC_RD*VIC_P*VIC_PRAFR*VIC_VFPM</f>
        <v>0</v>
      </c>
      <c r="R21" s="32"/>
      <c r="S21" s="29"/>
    </row>
    <row r="22" spans="2:19" x14ac:dyDescent="0.25">
      <c r="B22" s="28"/>
      <c r="C22" s="174" t="s">
        <v>19</v>
      </c>
      <c r="D22" s="6">
        <f>NSW_RDS*(NSW_P*NSW_PRAFR*NSW_VFOSL-NSW_PDS)</f>
        <v>0</v>
      </c>
      <c r="E22" s="7">
        <f>QLD_RDS*(QLD_P*QLD_PRAFR*QLD_VFOSL-QLD_PDS)</f>
        <v>0</v>
      </c>
      <c r="F22" s="7">
        <f>SA_RDS*(SA_P*SA_PRAFR*SA_VFOSL-SA_PDS)</f>
        <v>0</v>
      </c>
      <c r="G22" s="7">
        <f>TAS_RDS*(TAS_P*TAS_PRAFR*TAS_VFOSL-TAS_PDS)</f>
        <v>0</v>
      </c>
      <c r="H22" s="56">
        <f>VIC_RDS*(VIC_P*VIC_PRAFR*VIC_VFOSL-VIC_PDS)</f>
        <v>0</v>
      </c>
      <c r="I22" s="32"/>
      <c r="J22" s="29"/>
      <c r="K22" s="28"/>
      <c r="L22" s="41" t="s">
        <v>19</v>
      </c>
      <c r="M22" s="6">
        <f>NSW_RDS*(NSW_P*NSW_PRAFR*NSW_VFPM-NSW_PDS)</f>
        <v>0</v>
      </c>
      <c r="N22" s="7">
        <f>QLD_RDS*(QLD_P*QLD_PRAFR*QLD_VFPM-QLD_PDS)</f>
        <v>0</v>
      </c>
      <c r="O22" s="7">
        <f>SA_RDS*(SA_P*SA_PRAFR*SA_VFPM-SA_PDS)</f>
        <v>0</v>
      </c>
      <c r="P22" s="7">
        <f>TAS_RDS*(TAS_P*TAS_PRAFR*TAS_VFPM-TAS_PDS)</f>
        <v>0</v>
      </c>
      <c r="Q22" s="56">
        <f>VIC_RDS*(VIC_P*VIC_PRAFR*VIC_VFPM-VIC_PDS)</f>
        <v>0</v>
      </c>
      <c r="R22" s="32"/>
      <c r="S22" s="29"/>
    </row>
    <row r="23" spans="2:19" x14ac:dyDescent="0.25">
      <c r="B23" s="28"/>
      <c r="C23" s="174" t="s">
        <v>75</v>
      </c>
      <c r="D23" s="6">
        <f>NSW_RDC100*(NSW_P*NSW_PRAFR*NSW_VFOSL-NSW_P*NSW_PRAFRC100*NSW_VFOSL)</f>
        <v>0</v>
      </c>
      <c r="E23" s="7">
        <f>QLD_RDC100*(QLD_P*QLD_PRAFR*QLD_VFOSL-QLD_P*QLD_PRAFRC100*QLD_VFOSL)</f>
        <v>0</v>
      </c>
      <c r="F23" s="7">
        <f>SA_RDC100*(SA_P*SA_PRAFR*SA_VFOSL-SA_P*SA_PRAFRC100*SA_VFOSL)</f>
        <v>0</v>
      </c>
      <c r="G23" s="7">
        <f>TAS_RDC100*(TAS_P*TAS_PRAFR*TAS_VFOSL-TAS_P*TAS_PRAFRC100*TAS_VFOSL)</f>
        <v>0</v>
      </c>
      <c r="H23" s="56">
        <f>VIC_RDC100*(VIC_P*VIC_PRAFR*VIC_VFOSL-VIC_P*VIC_PRAFRC100*VIC_VFOSL)</f>
        <v>0</v>
      </c>
      <c r="I23" s="32"/>
      <c r="J23" s="29"/>
      <c r="K23" s="28"/>
      <c r="L23" s="41" t="s">
        <v>75</v>
      </c>
      <c r="M23" s="6">
        <f>NSW_RDC100*(NSW_P*NSW_PRAFR*NSW_VFPM-NSW_P*NSW_PRAFRC100*NSW_VFPM)</f>
        <v>0</v>
      </c>
      <c r="N23" s="7">
        <f>QLD_RDC100*(QLD_P*QLD_PRAFR*QLD_VFPM-QLD_P*QLD_PRAFRC100*QLD_VFPM)</f>
        <v>0</v>
      </c>
      <c r="O23" s="7">
        <f>SA_RDC100*(SA_P*SA_PRAFR*SA_VFPM-SA_P*SA_PRAFRC100*SA_VFPM)</f>
        <v>0</v>
      </c>
      <c r="P23" s="7">
        <f>TAS_RDC100*(TAS_P*TAS_PRAFR*TAS_VFPM-TAS_P*TAS_PRAFRC100*TAS_VFPM)</f>
        <v>0</v>
      </c>
      <c r="Q23" s="56">
        <f>VIC_RDC100*(VIC_P*VIC_PRAFR*VIC_VFPM-VIC_P*VIC_PRAFRC100*VIC_VFPM)</f>
        <v>0</v>
      </c>
      <c r="R23" s="32"/>
      <c r="S23" s="29"/>
    </row>
    <row r="24" spans="2:19" x14ac:dyDescent="0.25">
      <c r="B24" s="28"/>
      <c r="C24" s="174" t="s">
        <v>76</v>
      </c>
      <c r="D24" s="6">
        <f>NSW_RDC200*(NSW_P*NSW_PRAFR*NSW_VFOSL-NSW_P*NSW_PRAFRC200*NSW_VFOSL)</f>
        <v>0</v>
      </c>
      <c r="E24" s="7">
        <f>QLD_RDC200*(QLD_P*QLD_PRAFR*QLD_VFOSL-QLD_P*QLD_PRAFRC200*QLD_VFOSL)</f>
        <v>0</v>
      </c>
      <c r="F24" s="7">
        <f>SA_RDC200*(SA_P*SA_PRAFR*SA_VFOSL-SA_P*SA_PRAFRC200*SA_VFOSL)</f>
        <v>0</v>
      </c>
      <c r="G24" s="7">
        <f>TAS_RDC200*(TAS_P*TAS_PRAFR*TAS_VFOSL-TAS_P*TAS_PRAFRC200*TAS_VFOSL)</f>
        <v>0</v>
      </c>
      <c r="H24" s="56">
        <f>VIC_RDC200*(VIC_P*VIC_PRAFR*VIC_VFOSL-VIC_P*VIC_PRAFRC200*VIC_VFOSL)</f>
        <v>0</v>
      </c>
      <c r="I24" s="32"/>
      <c r="J24" s="29"/>
      <c r="K24" s="28"/>
      <c r="L24" s="41" t="s">
        <v>76</v>
      </c>
      <c r="M24" s="6">
        <f>NSW_RDC200*(NSW_P*NSW_PRAFR*NSW_VFPM-NSW_P*NSW_PRAFRC200*NSW_VFPM)</f>
        <v>0</v>
      </c>
      <c r="N24" s="7">
        <f>QLD_RDC200*(QLD_P*QLD_PRAFR*QLD_VFPM-QLD_P*QLD_PRAFRC200*QLD_VFPM)</f>
        <v>0</v>
      </c>
      <c r="O24" s="7">
        <f>SA_RDC200*(SA_P*SA_PRAFR*SA_VFPM-SA_P*SA_PRAFRC200*SA_VFPM)</f>
        <v>0</v>
      </c>
      <c r="P24" s="7">
        <f>TAS_RDC200*(TAS_P*TAS_PRAFR*TAS_VFPM-TAS_P*TAS_PRAFRC200*TAS_VFPM)</f>
        <v>0</v>
      </c>
      <c r="Q24" s="56">
        <f>VIC_RDC200*(VIC_P*VIC_PRAFR*VIC_VFPM-VIC_P*VIC_PRAFRC200*VIC_VFPM)</f>
        <v>0</v>
      </c>
      <c r="R24" s="32"/>
      <c r="S24" s="29"/>
    </row>
    <row r="25" spans="2:19" x14ac:dyDescent="0.25">
      <c r="B25" s="28"/>
      <c r="C25" s="174" t="s">
        <v>77</v>
      </c>
      <c r="D25" s="6">
        <f>NSW_RDC300*(NSW_P*NSW_PRAFR*NSW_VFOSL-NSW_P*NSW_PRAFRC300*NSW_VFOSL)</f>
        <v>0</v>
      </c>
      <c r="E25" s="7">
        <f>QLD_RDC300*(QLD_P*QLD_PRAFR*QLD_VFOSL-QLD_P*QLD_PRAFRC300*QLD_VFOSL)</f>
        <v>0</v>
      </c>
      <c r="F25" s="7">
        <f>SA_RDC300*(SA_P*SA_PRAFR*SA_VFOSL-SA_P*SA_PRAFRC300*SA_VFOSL)</f>
        <v>0</v>
      </c>
      <c r="G25" s="7">
        <f>TAS_RDC300*(TAS_P*TAS_PRAFR*TAS_VFOSL-TAS_P*TAS_PRAFRC300*TAS_VFOSL)</f>
        <v>0</v>
      </c>
      <c r="H25" s="56">
        <f>VIC_RDC300*(VIC_P*VIC_PRAFR*VIC_VFOSL-VIC_P*VIC_PRAFRC300*VIC_VFOSL)</f>
        <v>0</v>
      </c>
      <c r="I25" s="32"/>
      <c r="J25" s="29"/>
      <c r="K25" s="28"/>
      <c r="L25" s="41" t="s">
        <v>77</v>
      </c>
      <c r="M25" s="6">
        <f>NSW_RDC300*(NSW_P*NSW_PRAFR*NSW_VFPM-NSW_P*NSW_PRAFRC300*NSW_VFPM)</f>
        <v>0</v>
      </c>
      <c r="N25" s="7">
        <f>QLD_RDC300*(QLD_P*QLD_PRAFR*QLD_VFPM-QLD_P*QLD_PRAFRC300*QLD_VFPM)</f>
        <v>0</v>
      </c>
      <c r="O25" s="7">
        <f>SA_RDC300*(SA_P*SA_PRAFR*SA_VFPM-SA_P*SA_PRAFRC300*SA_VFPM)</f>
        <v>0</v>
      </c>
      <c r="P25" s="7">
        <f>TAS_RDC300*(TAS_P*TAS_PRAFR*TAS_VFPM-TAS_P*TAS_PRAFRC300*TAS_VFPM)</f>
        <v>0</v>
      </c>
      <c r="Q25" s="56">
        <f>VIC_RDC300*(VIC_P*VIC_PRAFR*VIC_VFPM-VIC_P*VIC_PRAFRC300*VIC_VFPM)</f>
        <v>0</v>
      </c>
      <c r="R25" s="32"/>
      <c r="S25" s="29"/>
    </row>
    <row r="26" spans="2:19" ht="18" x14ac:dyDescent="0.35">
      <c r="B26" s="28"/>
      <c r="C26" s="175" t="s">
        <v>126</v>
      </c>
      <c r="D26" s="10">
        <f>SUM(D21:D25)</f>
        <v>0</v>
      </c>
      <c r="E26" s="11">
        <f>SUM(E21:E25)</f>
        <v>0</v>
      </c>
      <c r="F26" s="11">
        <f>SUM(F21:F25)</f>
        <v>0</v>
      </c>
      <c r="G26" s="11">
        <f>SUM(G21:G25)</f>
        <v>0</v>
      </c>
      <c r="H26" s="12">
        <f>SUM(H21:H25)</f>
        <v>0</v>
      </c>
      <c r="I26" s="32"/>
      <c r="J26" s="29"/>
      <c r="K26" s="28"/>
      <c r="L26" s="47" t="s">
        <v>20</v>
      </c>
      <c r="M26" s="10">
        <f>SUM(M21:M25)</f>
        <v>0</v>
      </c>
      <c r="N26" s="11">
        <f>SUM(N21:N25)</f>
        <v>0</v>
      </c>
      <c r="O26" s="11">
        <f>SUM(O21:O25)</f>
        <v>0</v>
      </c>
      <c r="P26" s="11">
        <f>SUM(P21:P25)</f>
        <v>0</v>
      </c>
      <c r="Q26" s="12">
        <f>SUM(Q21:Q25)</f>
        <v>0</v>
      </c>
      <c r="R26" s="32"/>
      <c r="S26" s="29"/>
    </row>
    <row r="27" spans="2:19" x14ac:dyDescent="0.25">
      <c r="B27" s="28"/>
      <c r="C27" s="175"/>
      <c r="D27" s="32"/>
      <c r="E27" s="32"/>
      <c r="F27" s="32"/>
      <c r="G27" s="32"/>
      <c r="H27" s="32"/>
      <c r="I27" s="32"/>
      <c r="J27" s="29"/>
      <c r="K27" s="28"/>
      <c r="L27" s="47"/>
      <c r="M27" s="32"/>
      <c r="N27" s="32"/>
      <c r="O27" s="32"/>
      <c r="P27" s="32"/>
      <c r="Q27" s="32"/>
      <c r="R27" s="32"/>
      <c r="S27" s="29"/>
    </row>
    <row r="28" spans="2:19" x14ac:dyDescent="0.25">
      <c r="B28" s="28"/>
      <c r="C28" s="173"/>
      <c r="D28" s="57" t="s">
        <v>21</v>
      </c>
      <c r="E28" s="58"/>
      <c r="F28" s="58"/>
      <c r="G28" s="58"/>
      <c r="H28" s="59"/>
      <c r="I28" s="32"/>
      <c r="J28" s="29"/>
      <c r="K28" s="28"/>
      <c r="L28" s="32"/>
      <c r="M28" s="57" t="s">
        <v>21</v>
      </c>
      <c r="N28" s="58"/>
      <c r="O28" s="58"/>
      <c r="P28" s="58"/>
      <c r="Q28" s="59"/>
      <c r="R28" s="32"/>
      <c r="S28" s="29"/>
    </row>
    <row r="29" spans="2:19" x14ac:dyDescent="0.25">
      <c r="B29" s="28"/>
      <c r="C29" s="174" t="s">
        <v>18</v>
      </c>
      <c r="D29" s="6">
        <f>NSW_RC*NSW_P*NSW_PRAFR*NSW_VFOSL</f>
        <v>0</v>
      </c>
      <c r="E29" s="7">
        <f>QLD_RC*QLD_P*QLD_PRAFR*QLD_VFOSL</f>
        <v>0</v>
      </c>
      <c r="F29" s="7">
        <f>SA_RC*SA_P*SA_PRAFR*SA_VFOSL</f>
        <v>0</v>
      </c>
      <c r="G29" s="7">
        <f>TAS_RC*TAS_P*TAS_PRAFR*TAS_VFOSL</f>
        <v>0</v>
      </c>
      <c r="H29" s="56">
        <f>VIC_RC*VIC_P*VIC_PRAFR*VIC_VFOSL</f>
        <v>0</v>
      </c>
      <c r="I29" s="32"/>
      <c r="J29" s="29"/>
      <c r="K29" s="28"/>
      <c r="L29" s="41" t="s">
        <v>18</v>
      </c>
      <c r="M29" s="6">
        <f>NSW_RC*NSW_P*NSW_PRAFR*NSW_VFPM</f>
        <v>0</v>
      </c>
      <c r="N29" s="7">
        <f>QLD_RC*QLD_P*QLD_PRAFR*QLD_VFPM</f>
        <v>0</v>
      </c>
      <c r="O29" s="7">
        <f>SA_RC*SA_P*SA_PRAFR*SA_VFPM</f>
        <v>0</v>
      </c>
      <c r="P29" s="7">
        <f>TAS_RC*TAS_P*TAS_PRAFR*TAS_VFPM</f>
        <v>0</v>
      </c>
      <c r="Q29" s="56">
        <f>VIC_RC*VIC_P*VIC_PRAFR*VIC_VFPM</f>
        <v>0</v>
      </c>
      <c r="R29" s="32"/>
      <c r="S29" s="29"/>
    </row>
    <row r="30" spans="2:19" x14ac:dyDescent="0.25">
      <c r="B30" s="28"/>
      <c r="C30" s="174" t="s">
        <v>19</v>
      </c>
      <c r="D30" s="6">
        <f>NSW_RCS*(NSW_P*NSW_PRAFR*NSW_VFOSL-NSW_PCS)</f>
        <v>0</v>
      </c>
      <c r="E30" s="7">
        <f>QLD_RCS*(QLD_P*QLD_PRAFR*QLD_VFOSL-QLD_PCS)</f>
        <v>0</v>
      </c>
      <c r="F30" s="7">
        <f>SA_RCS*(SA_P*SA_PRAFR*SA_VFOSL-SA_PCS)</f>
        <v>0</v>
      </c>
      <c r="G30" s="7">
        <f>TAS_RCS*(TAS_P*TAS_PRAFR*TAS_VFOSL-TAS_PCS)</f>
        <v>0</v>
      </c>
      <c r="H30" s="56">
        <f>VIC_RCS*(VIC_P*VIC_PRAFR*VIC_VFOSL-VIC_PCS)</f>
        <v>0</v>
      </c>
      <c r="I30" s="32"/>
      <c r="J30" s="29"/>
      <c r="K30" s="28"/>
      <c r="L30" s="41" t="s">
        <v>19</v>
      </c>
      <c r="M30" s="6">
        <f>NSW_RCS*(NSW_P*NSW_PRAFR*NSW_VFPM-NSW_PCS)</f>
        <v>0</v>
      </c>
      <c r="N30" s="7">
        <f>QLD_RCS*(QLD_P*QLD_PRAFR*QLD_VFPM-QLD_PCS)</f>
        <v>0</v>
      </c>
      <c r="O30" s="7">
        <f>SA_RCS*(SA_P*SA_PRAFR*SA_VFPM-SA_PCS)</f>
        <v>0</v>
      </c>
      <c r="P30" s="7">
        <f>TAS_RCS*(TAS_P*TAS_PRAFR*TAS_VFPM-TAS_PCS)</f>
        <v>0</v>
      </c>
      <c r="Q30" s="56">
        <f>VIC_RCS*(VIC_P*VIC_PRAFR*VIC_VFPM-VIC_PCS)</f>
        <v>0</v>
      </c>
      <c r="R30" s="32"/>
      <c r="S30" s="29"/>
    </row>
    <row r="31" spans="2:19" x14ac:dyDescent="0.25">
      <c r="B31" s="28"/>
      <c r="C31" s="174" t="s">
        <v>75</v>
      </c>
      <c r="D31" s="6">
        <f>NSW_RCC100*(NSW_P*NSW_PRAFR*NSW_VFOSL-NSW_P*NSW_PRAFRC100*NSW_VFOSL)</f>
        <v>0</v>
      </c>
      <c r="E31" s="7">
        <f>QLD_RCC100*(QLD_P*QLD_PRAFR*QLD_VFOSL-QLD_P*QLD_PRAFRC100*QLD_VFOSL)</f>
        <v>0</v>
      </c>
      <c r="F31" s="7">
        <f>SA_RCC100*(SA_P*SA_PRAFR*SA_VFOSL-SA_P*SA_PRAFRC100*SA_VFOSL)</f>
        <v>0</v>
      </c>
      <c r="G31" s="7">
        <f>TAS_RCC100*(TAS_P*TAS_PRAFR*TAS_VFOSL-TAS_P*TAS_PRAFRC100*TAS_VFOSL)</f>
        <v>0</v>
      </c>
      <c r="H31" s="56">
        <f>VIC_RCC100*(VIC_P*VIC_PRAFR*VIC_VFOSL-VIC_P*VIC_PRAFRC100*VIC_VFOSL)</f>
        <v>0</v>
      </c>
      <c r="I31" s="32"/>
      <c r="J31" s="29"/>
      <c r="K31" s="28"/>
      <c r="L31" s="41" t="s">
        <v>75</v>
      </c>
      <c r="M31" s="6">
        <f>NSW_RCC100*(NSW_P*NSW_PRAFR*NSW_VFPM-NSW_P*NSW_PRAFRC100*NSW_VFPM)</f>
        <v>0</v>
      </c>
      <c r="N31" s="7">
        <f>QLD_RCC100*(QLD_P*QLD_PRAFR*QLD_VFPM-QLD_P*QLD_PRAFRC100*QLD_VFPM)</f>
        <v>0</v>
      </c>
      <c r="O31" s="7">
        <f>SA_RCC100*(SA_P*SA_PRAFR*SA_VFPM-SA_P*SA_PRAFRC100*SA_VFPM)</f>
        <v>0</v>
      </c>
      <c r="P31" s="7">
        <f>TAS_RCC100*(TAS_P*TAS_PRAFR*TAS_VFPM-TAS_P*TAS_PRAFRC100*TAS_VFPM)</f>
        <v>0</v>
      </c>
      <c r="Q31" s="56">
        <f>VIC_RCC100*(VIC_P*VIC_PRAFR*VIC_VFPM-VIC_P*VIC_PRAFRC100*VIC_VFPM)</f>
        <v>0</v>
      </c>
      <c r="R31" s="32"/>
      <c r="S31" s="29"/>
    </row>
    <row r="32" spans="2:19" x14ac:dyDescent="0.25">
      <c r="B32" s="28"/>
      <c r="C32" s="174" t="s">
        <v>76</v>
      </c>
      <c r="D32" s="6">
        <f>NSW_RCC200*(NSW_P*NSW_PRAFR*NSW_VFOSL-NSW_P*NSW_PRAFRC200*NSW_VFOSL)</f>
        <v>0</v>
      </c>
      <c r="E32" s="7">
        <f>QLD_RCC200*(QLD_P*QLD_PRAFR*QLD_VFOSL-QLD_P*QLD_PRAFRC200*QLD_VFOSL)</f>
        <v>0</v>
      </c>
      <c r="F32" s="7">
        <f>SA_RCC200*(SA_P*SA_PRAFR*SA_VFOSL-SA_P*SA_PRAFRC200*SA_VFOSL)</f>
        <v>0</v>
      </c>
      <c r="G32" s="7">
        <f>TAS_RCC200*(TAS_P*TAS_PRAFR*TAS_VFOSL-TAS_P*TAS_PRAFRC200*TAS_VFOSL)</f>
        <v>0</v>
      </c>
      <c r="H32" s="56">
        <f>VIC_RCC200*(VIC_P*VIC_PRAFR*VIC_VFOSL-VIC_P*VIC_PRAFRC200*VIC_VFOSL)</f>
        <v>0</v>
      </c>
      <c r="I32" s="32"/>
      <c r="J32" s="29"/>
      <c r="K32" s="28"/>
      <c r="L32" s="41" t="s">
        <v>76</v>
      </c>
      <c r="M32" s="6">
        <f>NSW_RCC200*(NSW_P*NSW_PRAFR*NSW_VFPM-NSW_P*NSW_PRAFRC200*NSW_VFPM)</f>
        <v>0</v>
      </c>
      <c r="N32" s="7">
        <f>QLD_RCC200*(QLD_P*QLD_PRAFR*QLD_VFPM-QLD_P*QLD_PRAFRC200*QLD_VFPM)</f>
        <v>0</v>
      </c>
      <c r="O32" s="7">
        <f>SA_RCC200*(SA_P*SA_PRAFR*SA_VFPM-SA_P*SA_PRAFRC200*SA_VFPM)</f>
        <v>0</v>
      </c>
      <c r="P32" s="7">
        <f>TAS_RCC200*(TAS_P*TAS_PRAFR*TAS_VFPM-TAS_P*TAS_PRAFRC200*TAS_VFPM)</f>
        <v>0</v>
      </c>
      <c r="Q32" s="56">
        <f>VIC_RCC200*(VIC_P*VIC_PRAFR*VIC_VFPM-VIC_P*VIC_PRAFRC200*VIC_VFPM)</f>
        <v>0</v>
      </c>
      <c r="R32" s="32"/>
      <c r="S32" s="29"/>
    </row>
    <row r="33" spans="1:19" x14ac:dyDescent="0.25">
      <c r="B33" s="28"/>
      <c r="C33" s="174" t="s">
        <v>77</v>
      </c>
      <c r="D33" s="6">
        <f>NSW_RCC300*(NSW_P*NSW_PRAFR*NSW_VFOSL-NSW_P*NSW_PRAFRC300*NSW_VFOSL)</f>
        <v>0</v>
      </c>
      <c r="E33" s="7">
        <f>QLD_RCC300*(QLD_P*QLD_PRAFR*QLD_VFOSL-QLD_P*QLD_PRAFRC300*QLD_VFOSL)</f>
        <v>0</v>
      </c>
      <c r="F33" s="7">
        <f>SA_RCC300*(SA_P*SA_PRAFR*SA_VFOSL-SA_P*SA_PRAFRC300*SA_VFOSL)</f>
        <v>0</v>
      </c>
      <c r="G33" s="7">
        <f>TAS_RCC300*(TAS_P*TAS_PRAFR*TAS_VFOSL-TAS_P*TAS_PRAFRC300*TAS_VFOSL)</f>
        <v>0</v>
      </c>
      <c r="H33" s="56">
        <f>VIC_RCC300*(VIC_P*VIC_PRAFR*VIC_VFOSL-VIC_P*VIC_PRAFRC300*VIC_VFOSL)</f>
        <v>0</v>
      </c>
      <c r="I33" s="32"/>
      <c r="J33" s="29"/>
      <c r="K33" s="28"/>
      <c r="L33" s="41" t="s">
        <v>77</v>
      </c>
      <c r="M33" s="6">
        <f>NSW_RCC300*(NSW_P*NSW_PRAFR*NSW_VFPM-NSW_P*NSW_PRAFRC300*NSW_VFPM)</f>
        <v>0</v>
      </c>
      <c r="N33" s="7">
        <f>QLD_RCC300*(QLD_P*QLD_PRAFR*QLD_VFPM-QLD_P*QLD_PRAFRC300*QLD_VFPM)</f>
        <v>0</v>
      </c>
      <c r="O33" s="7">
        <f>SA_RCC300*(SA_P*SA_PRAFR*SA_VFPM-SA_P*SA_PRAFRC300*SA_VFPM)</f>
        <v>0</v>
      </c>
      <c r="P33" s="7">
        <f>TAS_RCC300*(TAS_P*TAS_PRAFR*TAS_VFPM-TAS_P*TAS_PRAFRC300*TAS_VFPM)</f>
        <v>0</v>
      </c>
      <c r="Q33" s="56">
        <f>VIC_RCC300*(VIC_P*VIC_PRAFR*VIC_VFPM-VIC_P*VIC_PRAFRC300*VIC_VFPM)</f>
        <v>0</v>
      </c>
      <c r="R33" s="32"/>
      <c r="S33" s="29"/>
    </row>
    <row r="34" spans="1:19" ht="18" x14ac:dyDescent="0.35">
      <c r="B34" s="28"/>
      <c r="C34" s="175" t="s">
        <v>127</v>
      </c>
      <c r="D34" s="10">
        <f>SUM(D29:D33)</f>
        <v>0</v>
      </c>
      <c r="E34" s="11">
        <f>SUM(E29:E33)</f>
        <v>0</v>
      </c>
      <c r="F34" s="11">
        <f>SUM(F29:F33)</f>
        <v>0</v>
      </c>
      <c r="G34" s="11">
        <f>SUM(G29:G33)</f>
        <v>0</v>
      </c>
      <c r="H34" s="12">
        <f>SUM(H29:H33)</f>
        <v>0</v>
      </c>
      <c r="I34" s="32"/>
      <c r="J34" s="29"/>
      <c r="K34" s="28"/>
      <c r="L34" s="47" t="s">
        <v>22</v>
      </c>
      <c r="M34" s="10">
        <f>SUM(M29:M33)</f>
        <v>0</v>
      </c>
      <c r="N34" s="11">
        <f>SUM(N29:N33)</f>
        <v>0</v>
      </c>
      <c r="O34" s="11">
        <f>SUM(O29:O33)</f>
        <v>0</v>
      </c>
      <c r="P34" s="11">
        <f>SUM(P29:P33)</f>
        <v>0</v>
      </c>
      <c r="Q34" s="12">
        <f>SUM(Q29:Q33)</f>
        <v>0</v>
      </c>
      <c r="R34" s="32"/>
      <c r="S34" s="29"/>
    </row>
    <row r="35" spans="1:19" x14ac:dyDescent="0.25">
      <c r="B35" s="28"/>
      <c r="C35" s="175"/>
      <c r="D35" s="32"/>
      <c r="E35" s="32"/>
      <c r="F35" s="32"/>
      <c r="G35" s="32"/>
      <c r="H35" s="32"/>
      <c r="I35" s="32"/>
      <c r="J35" s="29"/>
      <c r="K35" s="28"/>
      <c r="L35" s="47"/>
      <c r="M35" s="32"/>
      <c r="N35" s="32"/>
      <c r="O35" s="32"/>
      <c r="P35" s="32"/>
      <c r="Q35" s="32"/>
      <c r="R35" s="32"/>
      <c r="S35" s="29"/>
    </row>
    <row r="36" spans="1:19" x14ac:dyDescent="0.25">
      <c r="B36" s="28"/>
      <c r="C36" s="173"/>
      <c r="D36" s="57" t="s">
        <v>48</v>
      </c>
      <c r="E36" s="58"/>
      <c r="F36" s="58"/>
      <c r="G36" s="58"/>
      <c r="H36" s="59"/>
      <c r="I36" s="32"/>
      <c r="J36" s="29"/>
      <c r="K36" s="28"/>
      <c r="L36" s="47"/>
      <c r="M36" s="32"/>
      <c r="N36" s="32"/>
      <c r="O36" s="32"/>
      <c r="P36" s="32"/>
      <c r="Q36" s="32"/>
      <c r="R36" s="32"/>
      <c r="S36" s="29"/>
    </row>
    <row r="37" spans="1:19" ht="18" x14ac:dyDescent="0.35">
      <c r="B37" s="28"/>
      <c r="C37" s="176" t="s">
        <v>128</v>
      </c>
      <c r="D37" s="13">
        <f>NSW_RDD</f>
        <v>0</v>
      </c>
      <c r="E37" s="14">
        <f>QLD_RDD</f>
        <v>0</v>
      </c>
      <c r="F37" s="14">
        <f>SA_RDD</f>
        <v>0</v>
      </c>
      <c r="G37" s="14">
        <f>TAS_RDD</f>
        <v>0</v>
      </c>
      <c r="H37" s="15">
        <f>VIC_RDD</f>
        <v>0</v>
      </c>
      <c r="I37" s="32"/>
      <c r="J37" s="29"/>
      <c r="K37" s="28"/>
      <c r="L37" s="32"/>
      <c r="M37" s="32"/>
      <c r="N37" s="32"/>
      <c r="O37" s="32"/>
      <c r="P37" s="32"/>
      <c r="Q37" s="32"/>
      <c r="R37" s="32"/>
      <c r="S37" s="29"/>
    </row>
    <row r="38" spans="1:19" ht="18" x14ac:dyDescent="0.35">
      <c r="B38" s="31"/>
      <c r="C38" s="176" t="s">
        <v>129</v>
      </c>
      <c r="D38" s="19">
        <f>NSW_RCD</f>
        <v>0</v>
      </c>
      <c r="E38" s="20">
        <f>QLD_RCD</f>
        <v>0</v>
      </c>
      <c r="F38" s="20">
        <f>SA_RCD</f>
        <v>0</v>
      </c>
      <c r="G38" s="20">
        <f>TAS_RCD</f>
        <v>0</v>
      </c>
      <c r="H38" s="21">
        <f>VIC_RCD</f>
        <v>0</v>
      </c>
      <c r="I38" s="32"/>
      <c r="J38" s="29"/>
      <c r="K38" s="28"/>
      <c r="L38" s="32"/>
      <c r="M38" s="32"/>
      <c r="N38" s="32"/>
      <c r="O38" s="32"/>
      <c r="P38" s="32"/>
      <c r="Q38" s="32"/>
      <c r="R38" s="32"/>
      <c r="S38" s="29"/>
    </row>
    <row r="39" spans="1:19" x14ac:dyDescent="0.25">
      <c r="B39" s="28"/>
      <c r="C39" s="174"/>
      <c r="D39" s="32"/>
      <c r="E39" s="32"/>
      <c r="F39" s="32"/>
      <c r="G39" s="32"/>
      <c r="H39" s="32"/>
      <c r="I39" s="32"/>
      <c r="J39" s="29"/>
      <c r="K39" s="28"/>
      <c r="L39" s="32"/>
      <c r="M39" s="32"/>
      <c r="N39" s="32"/>
      <c r="O39" s="32"/>
      <c r="P39" s="32"/>
      <c r="Q39" s="32"/>
      <c r="R39" s="32"/>
      <c r="S39" s="29"/>
    </row>
    <row r="40" spans="1:19" ht="18" x14ac:dyDescent="0.35">
      <c r="B40" s="28"/>
      <c r="C40" s="175" t="s">
        <v>130</v>
      </c>
      <c r="D40" s="13">
        <f>(D17-D18+D26-D34+D37-D38)*(TOSL)</f>
        <v>0</v>
      </c>
      <c r="E40" s="14">
        <f>(E17-E18+E26-E34+E37-E38)*(TOSL)</f>
        <v>0</v>
      </c>
      <c r="F40" s="14">
        <f>(F17-F18+F26-F34+F37-F38)*(TOSL)</f>
        <v>0</v>
      </c>
      <c r="G40" s="14">
        <f>(G17-G18+G26-G34+G37-G38)*(TOSL)</f>
        <v>0</v>
      </c>
      <c r="H40" s="15">
        <f>(H17-H18+H26-H34+H37-H38)*(TOSL)</f>
        <v>0</v>
      </c>
      <c r="I40" s="32"/>
      <c r="J40" s="29"/>
      <c r="K40" s="28"/>
      <c r="L40" s="47" t="s">
        <v>50</v>
      </c>
      <c r="M40" s="13">
        <f>MAX((M17-M18)*TRP,(M17-M18)*TRP/NSW_VFPM)</f>
        <v>0</v>
      </c>
      <c r="N40" s="14">
        <f>MAX((N17-N18)*TRP,(N17-N18)*TRP/QLD_VFPM)</f>
        <v>0</v>
      </c>
      <c r="O40" s="14">
        <f>MAX((O17-O18)*TRP,(O17-O18)*TRP/SA_VFPM)</f>
        <v>0</v>
      </c>
      <c r="P40" s="14">
        <f>MAX((P17-P18)*TRP,(P17-P18)*TRP/TAS_VFPM)</f>
        <v>0</v>
      </c>
      <c r="Q40" s="15">
        <f>MAX((Q17-Q18)*TRP,(Q17-Q18)*TRP/VIC_VFPM)</f>
        <v>0</v>
      </c>
      <c r="R40" s="32"/>
      <c r="S40" s="29"/>
    </row>
    <row r="41" spans="1:19" ht="18" x14ac:dyDescent="0.35">
      <c r="B41" s="28"/>
      <c r="C41" s="175" t="s">
        <v>131</v>
      </c>
      <c r="D41" s="16">
        <f>(D40-(D37-D38)*(TOSL))/NSW_VFOSL+(D37-D38)*(TOSL)</f>
        <v>0</v>
      </c>
      <c r="E41" s="17">
        <f>(E40-(E37-E38)*(TOSL))/QLD_VFOSL+(E37-E38)*(TOSL)</f>
        <v>0</v>
      </c>
      <c r="F41" s="17">
        <f>(F40-(F37-F38)*(TOSL))/SA_VFOSL+(F37-F38)*(TOSL)</f>
        <v>0</v>
      </c>
      <c r="G41" s="17">
        <f>(G40-(G37-G38)*(TOSL))/TAS_VFOSL+(G37-G38)*(TOSL)</f>
        <v>0</v>
      </c>
      <c r="H41" s="18">
        <f>(H40-(H37-H38)*(TOSL))/VIC_VFOSL+(H37-H38)*(TOSL)</f>
        <v>0</v>
      </c>
      <c r="I41" s="32"/>
      <c r="J41" s="29"/>
      <c r="K41" s="28"/>
      <c r="L41" s="47" t="s">
        <v>51</v>
      </c>
      <c r="M41" s="19">
        <f>MAX((M26-M34+D37-D38)*TRP,(M26-M34)/NSW_VFPM*TRP+(D37-D38)*TRP)</f>
        <v>0</v>
      </c>
      <c r="N41" s="20">
        <f>MAX((N26-N34+E37-E38)*TRP,(N26-N34)/QLD_VFPM*TRP+(E37-E38)*TRP)</f>
        <v>0</v>
      </c>
      <c r="O41" s="20">
        <f>MAX((O26-O34+F37-F38)*TRP,(O26-O34)/SA_VFPM*TRP+(F37-F38)*TRP)</f>
        <v>0</v>
      </c>
      <c r="P41" s="20">
        <f>MAX((P26-P34+G37-G38)*TRP,(P26-P34)/TAS_VFPM*TRP+(G37-G38)*TRP)</f>
        <v>0</v>
      </c>
      <c r="Q41" s="21">
        <f>MAX((Q26-Q34+H37-H38)*TRP,(Q26-Q34)/VIC_VFPM*TRP+(H37-H38)*TRP)</f>
        <v>0</v>
      </c>
      <c r="R41" s="32"/>
      <c r="S41" s="29"/>
    </row>
    <row r="42" spans="1:19" ht="23.25" customHeight="1" x14ac:dyDescent="0.4">
      <c r="B42" s="28"/>
      <c r="C42" s="61" t="s">
        <v>24</v>
      </c>
      <c r="D42" s="19">
        <f>MAX(D40:D41)</f>
        <v>0</v>
      </c>
      <c r="E42" s="20">
        <f>MAX(E40:E41)</f>
        <v>0</v>
      </c>
      <c r="F42" s="20">
        <f>MAX(F40:F41)</f>
        <v>0</v>
      </c>
      <c r="G42" s="20">
        <f>MAX(G40:G41)</f>
        <v>0</v>
      </c>
      <c r="H42" s="21">
        <f>MAX(H40:H41)</f>
        <v>0</v>
      </c>
      <c r="I42" s="60">
        <f>SUM(D42:H42)</f>
        <v>0</v>
      </c>
      <c r="J42" s="29"/>
      <c r="K42" s="28"/>
      <c r="L42" s="61" t="s">
        <v>25</v>
      </c>
      <c r="M42" s="32"/>
      <c r="N42" s="32"/>
      <c r="O42" s="32"/>
      <c r="P42" s="32"/>
      <c r="Q42" s="32"/>
      <c r="R42" s="60">
        <f>MAX(SUM(M40:Q40),0)+MAX(SUM(M41:Q41),0)</f>
        <v>0</v>
      </c>
      <c r="S42" s="29"/>
    </row>
    <row r="43" spans="1:19" x14ac:dyDescent="0.25">
      <c r="B43" s="33"/>
      <c r="C43" s="53"/>
      <c r="D43" s="9"/>
      <c r="E43" s="9"/>
      <c r="F43" s="9"/>
      <c r="G43" s="9"/>
      <c r="H43" s="9"/>
      <c r="I43" s="34"/>
      <c r="J43" s="35"/>
      <c r="K43" s="33"/>
      <c r="L43" s="34"/>
      <c r="M43" s="34"/>
      <c r="N43" s="34"/>
      <c r="O43" s="34"/>
      <c r="P43" s="34"/>
      <c r="Q43" s="34"/>
      <c r="R43" s="34"/>
      <c r="S43" s="35"/>
    </row>
    <row r="44" spans="1:19" x14ac:dyDescent="0.25">
      <c r="A44" s="169" t="s">
        <v>112</v>
      </c>
    </row>
    <row r="45" spans="1:19" ht="13.5" customHeight="1" x14ac:dyDescent="0.25">
      <c r="A45" s="170" t="s">
        <v>133</v>
      </c>
    </row>
    <row r="46" spans="1:19" ht="13.5" customHeight="1" x14ac:dyDescent="0.25">
      <c r="A46" s="170" t="s">
        <v>117</v>
      </c>
    </row>
    <row r="47" spans="1:19" ht="13.5" customHeight="1" x14ac:dyDescent="0.25">
      <c r="A47" s="170" t="s">
        <v>134</v>
      </c>
    </row>
    <row r="48" spans="1:19" ht="13.5" customHeight="1" x14ac:dyDescent="0.25">
      <c r="A48" s="170" t="s">
        <v>135</v>
      </c>
    </row>
    <row r="49" spans="1:1" x14ac:dyDescent="0.25">
      <c r="A49" s="169" t="s">
        <v>113</v>
      </c>
    </row>
    <row r="50" spans="1:1" ht="13.5" customHeight="1" x14ac:dyDescent="0.25">
      <c r="A50" s="170" t="s">
        <v>114</v>
      </c>
    </row>
    <row r="51" spans="1:1" ht="13.5" customHeight="1" x14ac:dyDescent="0.25">
      <c r="A51" s="170" t="s">
        <v>116</v>
      </c>
    </row>
    <row r="52" spans="1:1" ht="13.5" customHeight="1" x14ac:dyDescent="0.25">
      <c r="A52" s="170" t="s">
        <v>118</v>
      </c>
    </row>
    <row r="53" spans="1:1" ht="13.5" customHeight="1" x14ac:dyDescent="0.25">
      <c r="A53" s="170" t="s">
        <v>119</v>
      </c>
    </row>
    <row r="54" spans="1:1" ht="13.5" customHeight="1" x14ac:dyDescent="0.25">
      <c r="A54" s="170" t="s">
        <v>120</v>
      </c>
    </row>
    <row r="55" spans="1:1" ht="13.5" customHeight="1" x14ac:dyDescent="0.25">
      <c r="A55" s="170" t="s">
        <v>121</v>
      </c>
    </row>
    <row r="56" spans="1:1" ht="13.5" customHeight="1" x14ac:dyDescent="0.25">
      <c r="A56" s="170" t="s">
        <v>122</v>
      </c>
    </row>
    <row r="57" spans="1:1" ht="13.5" customHeight="1" x14ac:dyDescent="0.25">
      <c r="A57" s="170" t="s">
        <v>123</v>
      </c>
    </row>
    <row r="58" spans="1:1" ht="13.5" customHeight="1" x14ac:dyDescent="0.25">
      <c r="A58" s="170" t="s">
        <v>115</v>
      </c>
    </row>
    <row r="59" spans="1:1" hidden="1" x14ac:dyDescent="0.25"/>
    <row r="60" spans="1:1" hidden="1" x14ac:dyDescent="0.25"/>
    <row r="61" spans="1:1" hidden="1" x14ac:dyDescent="0.25"/>
    <row r="62" spans="1:1" hidden="1" x14ac:dyDescent="0.25"/>
    <row r="63" spans="1:1" hidden="1" x14ac:dyDescent="0.25"/>
    <row r="64" spans="1:1" hidden="1" x14ac:dyDescent="0.25"/>
    <row r="65" hidden="1" x14ac:dyDescent="0.25"/>
    <row r="66" hidden="1" x14ac:dyDescent="0.25"/>
    <row r="67" hidden="1" x14ac:dyDescent="0.25"/>
  </sheetData>
  <sheetProtection password="AFDE" sheet="1" objects="1" scenarios="1" formatCells="0" formatColumns="0" formatRows="0"/>
  <mergeCells count="1">
    <mergeCell ref="J12:M12"/>
  </mergeCells>
  <pageMargins left="0.27157738095238093" right="1.1011904761904763E-2" top="8.6309523809523808E-2" bottom="0.3392857142857143" header="0.31496062992125984" footer="8.9285714285714288E-2"/>
  <pageSetup paperSize="9" scale="64" orientation="landscape" verticalDpi="0" r:id="rId1"/>
  <headerFooter>
    <oddFooter xml:space="preserve">&amp;C&amp;10&amp;D &amp;T&amp;R&amp;P of &amp;N in &amp;A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Y40"/>
  <sheetViews>
    <sheetView showGridLines="0" view="pageBreakPreview" zoomScale="80" zoomScaleNormal="80" zoomScaleSheetLayoutView="80" workbookViewId="0">
      <selection activeCell="I9" sqref="I9"/>
    </sheetView>
  </sheetViews>
  <sheetFormatPr defaultRowHeight="15" x14ac:dyDescent="0.25"/>
  <cols>
    <col min="1" max="1" width="1.7109375" customWidth="1"/>
    <col min="2" max="2" width="17.5703125" customWidth="1"/>
    <col min="3" max="3" width="7.85546875" customWidth="1"/>
    <col min="4" max="51" width="10.28515625" customWidth="1"/>
  </cols>
  <sheetData>
    <row r="1" spans="1:51" s="3" customFormat="1" ht="8.25" customHeight="1" x14ac:dyDescent="0.25">
      <c r="J1" s="134"/>
      <c r="K1" s="134"/>
      <c r="L1" s="134"/>
      <c r="M1" s="134"/>
      <c r="N1" s="134"/>
      <c r="O1" s="134"/>
      <c r="P1" s="134"/>
      <c r="Q1" s="134"/>
    </row>
    <row r="2" spans="1:51" ht="26.25" x14ac:dyDescent="0.4">
      <c r="B2" s="7"/>
      <c r="C2" s="7"/>
      <c r="D2" s="124" t="s">
        <v>148</v>
      </c>
      <c r="E2" s="7"/>
      <c r="F2" s="7"/>
      <c r="G2" s="26"/>
      <c r="H2" s="25"/>
      <c r="I2" s="25"/>
      <c r="J2" s="25"/>
      <c r="K2" s="25"/>
      <c r="L2" s="8"/>
      <c r="M2" s="8"/>
      <c r="N2" s="8"/>
      <c r="O2" s="8"/>
      <c r="P2" s="8"/>
    </row>
    <row r="3" spans="1:51" ht="15.75" x14ac:dyDescent="0.25">
      <c r="A3" s="66"/>
      <c r="B3" s="7"/>
      <c r="C3" s="7"/>
      <c r="D3" s="7"/>
      <c r="E3" s="7"/>
      <c r="F3" s="7"/>
      <c r="G3" s="26"/>
      <c r="H3" s="25"/>
      <c r="I3" s="25"/>
      <c r="J3" s="25"/>
      <c r="K3" s="25"/>
      <c r="L3" s="8"/>
      <c r="M3" s="8"/>
      <c r="N3" s="8"/>
      <c r="O3" s="8"/>
      <c r="P3" s="8"/>
    </row>
    <row r="4" spans="1:51" ht="15.75" x14ac:dyDescent="0.25">
      <c r="G4" s="144"/>
      <c r="H4" s="76" t="s">
        <v>0</v>
      </c>
      <c r="I4" s="76" t="s">
        <v>1</v>
      </c>
      <c r="J4" s="76" t="s">
        <v>2</v>
      </c>
      <c r="K4" s="76" t="s">
        <v>3</v>
      </c>
      <c r="L4" s="76" t="s">
        <v>4</v>
      </c>
      <c r="M4" s="8"/>
      <c r="N4" s="8"/>
      <c r="O4" s="8"/>
      <c r="P4" s="8"/>
      <c r="Q4" s="8"/>
    </row>
    <row r="5" spans="1:51" ht="19.5" customHeight="1" x14ac:dyDescent="0.35">
      <c r="D5" s="182" t="s">
        <v>138</v>
      </c>
      <c r="E5" s="182"/>
      <c r="F5" s="183"/>
      <c r="G5" s="83" t="s">
        <v>49</v>
      </c>
      <c r="H5" s="4">
        <v>171095</v>
      </c>
      <c r="I5" s="5">
        <v>125411</v>
      </c>
      <c r="J5" s="5">
        <v>32434</v>
      </c>
      <c r="K5" s="5">
        <v>27509</v>
      </c>
      <c r="L5" s="120">
        <v>113551</v>
      </c>
      <c r="M5" s="8"/>
      <c r="N5" s="8"/>
      <c r="O5" s="8"/>
      <c r="P5" s="8"/>
      <c r="Q5" s="8"/>
    </row>
    <row r="6" spans="1:51" ht="19.5" customHeight="1" x14ac:dyDescent="0.35">
      <c r="D6" s="182" t="s">
        <v>139</v>
      </c>
      <c r="E6" s="182"/>
      <c r="F6" s="183"/>
      <c r="G6" s="83" t="s">
        <v>47</v>
      </c>
      <c r="H6" s="148">
        <v>34.71</v>
      </c>
      <c r="I6" s="149">
        <v>31.88</v>
      </c>
      <c r="J6" s="149">
        <v>36.96</v>
      </c>
      <c r="K6" s="149">
        <v>38.130000000000003</v>
      </c>
      <c r="L6" s="150">
        <v>31.05</v>
      </c>
      <c r="M6" s="26" t="s">
        <v>101</v>
      </c>
      <c r="N6" s="8"/>
      <c r="O6" s="8"/>
      <c r="P6" s="8"/>
      <c r="Q6" s="8"/>
    </row>
    <row r="7" spans="1:51" ht="19.5" customHeight="1" x14ac:dyDescent="0.35">
      <c r="D7" s="184" t="s">
        <v>140</v>
      </c>
      <c r="E7" s="184"/>
      <c r="F7" s="185"/>
      <c r="G7" s="83" t="s">
        <v>52</v>
      </c>
      <c r="H7" s="22">
        <f>SUMPRODUCT(D21:AY21,D16:AY16)/SUM(D16:AY16)</f>
        <v>33.644426085787586</v>
      </c>
      <c r="I7" s="23">
        <f>SUMPRODUCT(D22:AY22,D17:AY17)/SUM(D17:AY17)</f>
        <v>31.687434854718852</v>
      </c>
      <c r="J7" s="23">
        <f>SUMPRODUCT(D23:AY23,D18:AY18)/SUM(D18:AY18)</f>
        <v>35.124964237267243</v>
      </c>
      <c r="K7" s="23">
        <f>SUMPRODUCT(D24:AY24,D19:AY19)/SUM(D19:AY19)</f>
        <v>37.947842317618409</v>
      </c>
      <c r="L7" s="24">
        <f>SUMPRODUCT(D25:AY25,D20:AY20)/SUM(D20:AY20)</f>
        <v>31.044692029942759</v>
      </c>
      <c r="M7" s="8"/>
      <c r="N7" s="8"/>
      <c r="O7" s="8"/>
      <c r="P7" s="8"/>
      <c r="Q7" s="8"/>
    </row>
    <row r="8" spans="1:51" ht="19.5" customHeight="1" x14ac:dyDescent="0.35">
      <c r="D8" s="143"/>
      <c r="E8" s="142"/>
      <c r="G8" s="83" t="s">
        <v>89</v>
      </c>
      <c r="H8" s="22">
        <f>SUMPRODUCT(D26:AY26,D16:AY16)/SUM(D16:AY16)</f>
        <v>29.942660654482545</v>
      </c>
      <c r="I8" s="23">
        <f>SUMPRODUCT(D27:AY27,D17:AY17)/SUM(D17:AY17)</f>
        <v>28.564273833444965</v>
      </c>
      <c r="J8" s="23">
        <f>SUMPRODUCT(D28:AY28,D18:AY18)/SUM(D18:AY18)</f>
        <v>31.52342983105191</v>
      </c>
      <c r="K8" s="23">
        <f>SUMPRODUCT(D29:AY29,D19:AY19)/SUM(D19:AY19)</f>
        <v>35.829683762858487</v>
      </c>
      <c r="L8" s="24">
        <f>SUMPRODUCT(D30:AY30,D20:AY20)/SUM(D20:AY20)</f>
        <v>28.982062439453987</v>
      </c>
      <c r="M8" s="8"/>
      <c r="N8" s="8"/>
      <c r="O8" s="8"/>
      <c r="P8" s="8"/>
      <c r="Q8" s="8"/>
    </row>
    <row r="9" spans="1:51" ht="19.5" customHeight="1" x14ac:dyDescent="0.35">
      <c r="D9" s="143"/>
      <c r="E9" s="142"/>
      <c r="G9" s="83" t="s">
        <v>90</v>
      </c>
      <c r="H9" s="109">
        <f>SUMPRODUCT(D31:AY31,D16:AY16)/SUM(D16:AY16)</f>
        <v>30.433680777570615</v>
      </c>
      <c r="I9" s="110">
        <f>SUMPRODUCT(D32:AY32,D17:AY17)/SUM(D17:AY17)</f>
        <v>29.19037420661499</v>
      </c>
      <c r="J9" s="110">
        <f>SUMPRODUCT(D33:AY33,D18:AY18)/SUM(D18:AY18)</f>
        <v>32.117053274139849</v>
      </c>
      <c r="K9" s="110">
        <f>SUMPRODUCT(D34:AY34,D19:AY19)/SUM(D19:AY19)</f>
        <v>36.312300897822688</v>
      </c>
      <c r="L9" s="111">
        <f>SUMPRODUCT(D35:AY35,D20:AY20)/SUM(D20:AY20)</f>
        <v>29.264154469396747</v>
      </c>
      <c r="M9" s="8"/>
      <c r="N9" s="8"/>
      <c r="O9" s="8"/>
      <c r="P9" s="8"/>
      <c r="Q9" s="8"/>
    </row>
    <row r="10" spans="1:51" ht="19.5" customHeight="1" x14ac:dyDescent="0.35">
      <c r="D10" s="143"/>
      <c r="E10" s="142"/>
      <c r="G10" s="83" t="s">
        <v>91</v>
      </c>
      <c r="H10" s="109">
        <f>SUMPRODUCT(D36:AY36,D16:AY16)/SUM(D16:AY16)</f>
        <v>30.693715144041093</v>
      </c>
      <c r="I10" s="110">
        <f>SUMPRODUCT(D37:AY37,D17:AY17)/SUM(D17:AY17)</f>
        <v>29.495212898287235</v>
      </c>
      <c r="J10" s="110">
        <f>SUMPRODUCT(D38:AY38,D18:AY18)/SUM(D18:AY18)</f>
        <v>32.379297385620902</v>
      </c>
      <c r="K10" s="110">
        <f>SUMPRODUCT(D39:AY39,D19:AY19)/SUM(D19:AY19)</f>
        <v>36.504060194104177</v>
      </c>
      <c r="L10" s="111">
        <f>SUMPRODUCT(D40:AY40,D20:AY20)/SUM(D20:AY20)</f>
        <v>29.39741047996478</v>
      </c>
      <c r="M10" s="8"/>
      <c r="N10" s="8"/>
      <c r="O10" s="8"/>
      <c r="P10" s="8"/>
      <c r="Q10" s="8"/>
    </row>
    <row r="11" spans="1:51" ht="19.5" customHeight="1" x14ac:dyDescent="0.35">
      <c r="C11" s="193" t="s">
        <v>141</v>
      </c>
      <c r="D11" s="193"/>
      <c r="E11" s="193"/>
      <c r="F11" s="194"/>
      <c r="G11" s="83" t="s">
        <v>45</v>
      </c>
      <c r="H11" s="151">
        <v>1.5</v>
      </c>
      <c r="I11" s="152">
        <v>1.5</v>
      </c>
      <c r="J11" s="152">
        <v>1.7</v>
      </c>
      <c r="K11" s="152">
        <v>1.1200000000000001</v>
      </c>
      <c r="L11" s="153">
        <v>1.33</v>
      </c>
      <c r="M11" s="191" t="s">
        <v>100</v>
      </c>
      <c r="N11" s="192"/>
      <c r="O11" s="192"/>
      <c r="P11" s="192"/>
      <c r="Q11" s="192"/>
      <c r="R11" s="192"/>
      <c r="S11" s="192"/>
      <c r="T11" s="192"/>
      <c r="U11" s="192"/>
    </row>
    <row r="12" spans="1:51" ht="19.5" customHeight="1" x14ac:dyDescent="0.35">
      <c r="C12" s="193" t="s">
        <v>142</v>
      </c>
      <c r="D12" s="193"/>
      <c r="E12" s="193"/>
      <c r="F12" s="194"/>
      <c r="G12" s="83" t="s">
        <v>46</v>
      </c>
      <c r="H12" s="154">
        <v>1.31</v>
      </c>
      <c r="I12" s="155">
        <v>1.88</v>
      </c>
      <c r="J12" s="155">
        <v>2.02</v>
      </c>
      <c r="K12" s="155">
        <v>1.07</v>
      </c>
      <c r="L12" s="156">
        <v>1.57</v>
      </c>
      <c r="M12" s="191"/>
      <c r="N12" s="192"/>
      <c r="O12" s="192"/>
      <c r="P12" s="192"/>
      <c r="Q12" s="192"/>
      <c r="R12" s="192"/>
      <c r="S12" s="192"/>
      <c r="T12" s="192"/>
      <c r="U12" s="192"/>
    </row>
    <row r="13" spans="1:51" ht="19.5" customHeight="1" x14ac:dyDescent="0.25">
      <c r="A13" s="66"/>
      <c r="B13" s="7"/>
      <c r="C13" s="7"/>
      <c r="D13" s="7"/>
      <c r="E13" s="7"/>
      <c r="F13" s="7"/>
      <c r="G13" s="26"/>
      <c r="H13" s="25"/>
      <c r="I13" s="25"/>
      <c r="J13" s="25"/>
      <c r="K13" s="25"/>
      <c r="L13" s="8"/>
      <c r="M13" s="8"/>
      <c r="N13" s="8"/>
      <c r="O13" s="8"/>
      <c r="P13" s="8"/>
    </row>
    <row r="14" spans="1:51" ht="15.75" x14ac:dyDescent="0.25">
      <c r="A14" s="66"/>
      <c r="B14" s="7"/>
      <c r="C14" s="7"/>
      <c r="D14" s="7"/>
      <c r="E14" s="7"/>
      <c r="F14" s="7"/>
      <c r="G14" s="26"/>
      <c r="H14" s="25"/>
      <c r="I14" s="25"/>
      <c r="J14" s="25"/>
      <c r="K14" s="25"/>
      <c r="L14" s="8"/>
      <c r="M14" s="8"/>
      <c r="N14" s="8"/>
      <c r="O14" s="8"/>
      <c r="P14" s="8"/>
    </row>
    <row r="15" spans="1:51" ht="16.5" thickBot="1" x14ac:dyDescent="0.3">
      <c r="B15" s="189" t="s">
        <v>13</v>
      </c>
      <c r="C15" s="190"/>
      <c r="D15" s="88">
        <v>1</v>
      </c>
      <c r="E15" s="88">
        <v>2</v>
      </c>
      <c r="F15" s="88">
        <v>3</v>
      </c>
      <c r="G15" s="88">
        <v>4</v>
      </c>
      <c r="H15" s="88">
        <v>5</v>
      </c>
      <c r="I15" s="88">
        <v>6</v>
      </c>
      <c r="J15" s="88">
        <v>7</v>
      </c>
      <c r="K15" s="88">
        <v>8</v>
      </c>
      <c r="L15" s="88">
        <v>9</v>
      </c>
      <c r="M15" s="88">
        <v>10</v>
      </c>
      <c r="N15" s="88">
        <v>11</v>
      </c>
      <c r="O15" s="88">
        <v>12</v>
      </c>
      <c r="P15" s="88">
        <v>13</v>
      </c>
      <c r="Q15" s="88">
        <v>14</v>
      </c>
      <c r="R15" s="88">
        <v>15</v>
      </c>
      <c r="S15" s="88">
        <v>16</v>
      </c>
      <c r="T15" s="88">
        <v>17</v>
      </c>
      <c r="U15" s="88">
        <v>18</v>
      </c>
      <c r="V15" s="88">
        <v>19</v>
      </c>
      <c r="W15" s="88">
        <v>20</v>
      </c>
      <c r="X15" s="88">
        <v>21</v>
      </c>
      <c r="Y15" s="88">
        <v>22</v>
      </c>
      <c r="Z15" s="88">
        <v>23</v>
      </c>
      <c r="AA15" s="88">
        <v>24</v>
      </c>
      <c r="AB15" s="88">
        <v>25</v>
      </c>
      <c r="AC15" s="88">
        <v>26</v>
      </c>
      <c r="AD15" s="88">
        <v>27</v>
      </c>
      <c r="AE15" s="88">
        <v>28</v>
      </c>
      <c r="AF15" s="88">
        <v>29</v>
      </c>
      <c r="AG15" s="88">
        <v>30</v>
      </c>
      <c r="AH15" s="88">
        <v>31</v>
      </c>
      <c r="AI15" s="88">
        <v>32</v>
      </c>
      <c r="AJ15" s="88">
        <v>33</v>
      </c>
      <c r="AK15" s="88">
        <v>34</v>
      </c>
      <c r="AL15" s="88">
        <v>35</v>
      </c>
      <c r="AM15" s="88">
        <v>36</v>
      </c>
      <c r="AN15" s="88">
        <v>37</v>
      </c>
      <c r="AO15" s="88">
        <v>38</v>
      </c>
      <c r="AP15" s="88">
        <v>39</v>
      </c>
      <c r="AQ15" s="88">
        <v>40</v>
      </c>
      <c r="AR15" s="88">
        <v>41</v>
      </c>
      <c r="AS15" s="88">
        <v>42</v>
      </c>
      <c r="AT15" s="88">
        <v>43</v>
      </c>
      <c r="AU15" s="88">
        <v>44</v>
      </c>
      <c r="AV15" s="88">
        <v>45</v>
      </c>
      <c r="AW15" s="88">
        <v>46</v>
      </c>
      <c r="AX15" s="88">
        <v>47</v>
      </c>
      <c r="AY15" s="88">
        <v>48</v>
      </c>
    </row>
    <row r="16" spans="1:51" x14ac:dyDescent="0.25">
      <c r="B16" s="186" t="s">
        <v>72</v>
      </c>
      <c r="C16" s="89" t="s">
        <v>0</v>
      </c>
      <c r="D16" s="91">
        <v>3330</v>
      </c>
      <c r="E16" s="92">
        <v>3243</v>
      </c>
      <c r="F16" s="92">
        <v>3132</v>
      </c>
      <c r="G16" s="92">
        <v>3019</v>
      </c>
      <c r="H16" s="92">
        <v>2907</v>
      </c>
      <c r="I16" s="92">
        <v>2832</v>
      </c>
      <c r="J16" s="92">
        <v>2787</v>
      </c>
      <c r="K16" s="92">
        <v>2777</v>
      </c>
      <c r="L16" s="92">
        <v>2814</v>
      </c>
      <c r="M16" s="92">
        <v>2879</v>
      </c>
      <c r="N16" s="92">
        <v>3019</v>
      </c>
      <c r="O16" s="92">
        <v>3171</v>
      </c>
      <c r="P16" s="92">
        <v>3349</v>
      </c>
      <c r="Q16" s="92">
        <v>3503</v>
      </c>
      <c r="R16" s="92">
        <v>3593</v>
      </c>
      <c r="S16" s="92">
        <v>3688</v>
      </c>
      <c r="T16" s="92">
        <v>3768</v>
      </c>
      <c r="U16" s="92">
        <v>3809</v>
      </c>
      <c r="V16" s="92">
        <v>3848</v>
      </c>
      <c r="W16" s="92">
        <v>3860</v>
      </c>
      <c r="X16" s="92">
        <v>3864</v>
      </c>
      <c r="Y16" s="92">
        <v>3856</v>
      </c>
      <c r="Z16" s="92">
        <v>3835</v>
      </c>
      <c r="AA16" s="92">
        <v>3824</v>
      </c>
      <c r="AB16" s="92">
        <v>3819</v>
      </c>
      <c r="AC16" s="92">
        <v>3811</v>
      </c>
      <c r="AD16" s="92">
        <v>3805</v>
      </c>
      <c r="AE16" s="92">
        <v>3800</v>
      </c>
      <c r="AF16" s="92">
        <v>3796</v>
      </c>
      <c r="AG16" s="92">
        <v>3807</v>
      </c>
      <c r="AH16" s="92">
        <v>3819</v>
      </c>
      <c r="AI16" s="92">
        <v>3841</v>
      </c>
      <c r="AJ16" s="92">
        <v>3856</v>
      </c>
      <c r="AK16" s="92">
        <v>3884</v>
      </c>
      <c r="AL16" s="92">
        <v>3892</v>
      </c>
      <c r="AM16" s="92">
        <v>3958</v>
      </c>
      <c r="AN16" s="92">
        <v>4008</v>
      </c>
      <c r="AO16" s="92">
        <v>4008</v>
      </c>
      <c r="AP16" s="92">
        <v>3937</v>
      </c>
      <c r="AQ16" s="92">
        <v>3852</v>
      </c>
      <c r="AR16" s="92">
        <v>3763</v>
      </c>
      <c r="AS16" s="92">
        <v>3668</v>
      </c>
      <c r="AT16" s="92">
        <v>3613</v>
      </c>
      <c r="AU16" s="92">
        <v>3537</v>
      </c>
      <c r="AV16" s="92">
        <v>3555</v>
      </c>
      <c r="AW16" s="92">
        <v>3503</v>
      </c>
      <c r="AX16" s="92">
        <v>3454</v>
      </c>
      <c r="AY16" s="93">
        <v>3404</v>
      </c>
    </row>
    <row r="17" spans="2:51" x14ac:dyDescent="0.25">
      <c r="B17" s="187"/>
      <c r="C17" s="76" t="s">
        <v>1</v>
      </c>
      <c r="D17" s="94">
        <v>2361</v>
      </c>
      <c r="E17" s="95">
        <v>2285</v>
      </c>
      <c r="F17" s="95">
        <v>2209</v>
      </c>
      <c r="G17" s="95">
        <v>2153</v>
      </c>
      <c r="H17" s="95">
        <v>2119</v>
      </c>
      <c r="I17" s="95">
        <v>2096</v>
      </c>
      <c r="J17" s="95">
        <v>2088</v>
      </c>
      <c r="K17" s="95">
        <v>2088</v>
      </c>
      <c r="L17" s="95">
        <v>2104</v>
      </c>
      <c r="M17" s="95">
        <v>2132</v>
      </c>
      <c r="N17" s="95">
        <v>2189</v>
      </c>
      <c r="O17" s="95">
        <v>2255</v>
      </c>
      <c r="P17" s="95">
        <v>2369</v>
      </c>
      <c r="Q17" s="95">
        <v>2487</v>
      </c>
      <c r="R17" s="95">
        <v>2605</v>
      </c>
      <c r="S17" s="95">
        <v>2667</v>
      </c>
      <c r="T17" s="95">
        <v>2699</v>
      </c>
      <c r="U17" s="95">
        <v>2717</v>
      </c>
      <c r="V17" s="95">
        <v>2728</v>
      </c>
      <c r="W17" s="95">
        <v>2727</v>
      </c>
      <c r="X17" s="95">
        <v>2727</v>
      </c>
      <c r="Y17" s="95">
        <v>2729</v>
      </c>
      <c r="Z17" s="95">
        <v>2731</v>
      </c>
      <c r="AA17" s="95">
        <v>2743</v>
      </c>
      <c r="AB17" s="95">
        <v>2750</v>
      </c>
      <c r="AC17" s="95">
        <v>2762</v>
      </c>
      <c r="AD17" s="95">
        <v>2776</v>
      </c>
      <c r="AE17" s="95">
        <v>2794</v>
      </c>
      <c r="AF17" s="95">
        <v>2809</v>
      </c>
      <c r="AG17" s="95">
        <v>2821</v>
      </c>
      <c r="AH17" s="95">
        <v>2839</v>
      </c>
      <c r="AI17" s="95">
        <v>2873</v>
      </c>
      <c r="AJ17" s="95">
        <v>2902</v>
      </c>
      <c r="AK17" s="95">
        <v>2941</v>
      </c>
      <c r="AL17" s="95">
        <v>2951</v>
      </c>
      <c r="AM17" s="95">
        <v>2978</v>
      </c>
      <c r="AN17" s="95">
        <v>2997</v>
      </c>
      <c r="AO17" s="95">
        <v>3007</v>
      </c>
      <c r="AP17" s="95">
        <v>2950</v>
      </c>
      <c r="AQ17" s="95">
        <v>2903</v>
      </c>
      <c r="AR17" s="95">
        <v>2867</v>
      </c>
      <c r="AS17" s="95">
        <v>2818</v>
      </c>
      <c r="AT17" s="95">
        <v>2782</v>
      </c>
      <c r="AU17" s="95">
        <v>2717</v>
      </c>
      <c r="AV17" s="95">
        <v>2631</v>
      </c>
      <c r="AW17" s="95">
        <v>2569</v>
      </c>
      <c r="AX17" s="95">
        <v>2516</v>
      </c>
      <c r="AY17" s="96">
        <v>2451</v>
      </c>
    </row>
    <row r="18" spans="2:51" x14ac:dyDescent="0.25">
      <c r="B18" s="187"/>
      <c r="C18" s="76" t="s">
        <v>2</v>
      </c>
      <c r="D18" s="94">
        <v>737</v>
      </c>
      <c r="E18" s="95">
        <v>703</v>
      </c>
      <c r="F18" s="95">
        <v>657</v>
      </c>
      <c r="G18" s="95">
        <v>619</v>
      </c>
      <c r="H18" s="95">
        <v>592</v>
      </c>
      <c r="I18" s="95">
        <v>575</v>
      </c>
      <c r="J18" s="95">
        <v>564</v>
      </c>
      <c r="K18" s="95">
        <v>559</v>
      </c>
      <c r="L18" s="95">
        <v>558</v>
      </c>
      <c r="M18" s="95">
        <v>563</v>
      </c>
      <c r="N18" s="95">
        <v>572</v>
      </c>
      <c r="O18" s="95">
        <v>593</v>
      </c>
      <c r="P18" s="95">
        <v>617</v>
      </c>
      <c r="Q18" s="95">
        <v>654</v>
      </c>
      <c r="R18" s="95">
        <v>681</v>
      </c>
      <c r="S18" s="95">
        <v>679</v>
      </c>
      <c r="T18" s="95">
        <v>687</v>
      </c>
      <c r="U18" s="95">
        <v>688</v>
      </c>
      <c r="V18" s="95">
        <v>683</v>
      </c>
      <c r="W18" s="95">
        <v>678</v>
      </c>
      <c r="X18" s="95">
        <v>671</v>
      </c>
      <c r="Y18" s="95">
        <v>665</v>
      </c>
      <c r="Z18" s="95">
        <v>663</v>
      </c>
      <c r="AA18" s="95">
        <v>664</v>
      </c>
      <c r="AB18" s="95">
        <v>662</v>
      </c>
      <c r="AC18" s="95">
        <v>663</v>
      </c>
      <c r="AD18" s="95">
        <v>665</v>
      </c>
      <c r="AE18" s="95">
        <v>672</v>
      </c>
      <c r="AF18" s="95">
        <v>674</v>
      </c>
      <c r="AG18" s="95">
        <v>676</v>
      </c>
      <c r="AH18" s="95">
        <v>680</v>
      </c>
      <c r="AI18" s="95">
        <v>688</v>
      </c>
      <c r="AJ18" s="95">
        <v>700</v>
      </c>
      <c r="AK18" s="95">
        <v>713</v>
      </c>
      <c r="AL18" s="95">
        <v>728</v>
      </c>
      <c r="AM18" s="95">
        <v>742</v>
      </c>
      <c r="AN18" s="95">
        <v>758</v>
      </c>
      <c r="AO18" s="95">
        <v>773</v>
      </c>
      <c r="AP18" s="95">
        <v>783</v>
      </c>
      <c r="AQ18" s="95">
        <v>778</v>
      </c>
      <c r="AR18" s="95">
        <v>767</v>
      </c>
      <c r="AS18" s="95">
        <v>751</v>
      </c>
      <c r="AT18" s="95">
        <v>733</v>
      </c>
      <c r="AU18" s="95">
        <v>713</v>
      </c>
      <c r="AV18" s="95">
        <v>690</v>
      </c>
      <c r="AW18" s="95">
        <v>676</v>
      </c>
      <c r="AX18" s="95">
        <v>661</v>
      </c>
      <c r="AY18" s="96">
        <v>768</v>
      </c>
    </row>
    <row r="19" spans="2:51" x14ac:dyDescent="0.25">
      <c r="B19" s="187"/>
      <c r="C19" s="76" t="s">
        <v>3</v>
      </c>
      <c r="D19" s="94">
        <v>515</v>
      </c>
      <c r="E19" s="95">
        <v>510</v>
      </c>
      <c r="F19" s="95">
        <v>506</v>
      </c>
      <c r="G19" s="95">
        <v>504</v>
      </c>
      <c r="H19" s="95">
        <v>504</v>
      </c>
      <c r="I19" s="95">
        <v>504</v>
      </c>
      <c r="J19" s="95">
        <v>505</v>
      </c>
      <c r="K19" s="95">
        <v>507</v>
      </c>
      <c r="L19" s="95">
        <v>511</v>
      </c>
      <c r="M19" s="95">
        <v>519</v>
      </c>
      <c r="N19" s="95">
        <v>535</v>
      </c>
      <c r="O19" s="95">
        <v>555</v>
      </c>
      <c r="P19" s="95">
        <v>583</v>
      </c>
      <c r="Q19" s="95">
        <v>607</v>
      </c>
      <c r="R19" s="95">
        <v>624</v>
      </c>
      <c r="S19" s="95">
        <v>630</v>
      </c>
      <c r="T19" s="95">
        <v>630</v>
      </c>
      <c r="U19" s="95">
        <v>624</v>
      </c>
      <c r="V19" s="95">
        <v>616</v>
      </c>
      <c r="W19" s="95">
        <v>605</v>
      </c>
      <c r="X19" s="95">
        <v>597</v>
      </c>
      <c r="Y19" s="95">
        <v>590</v>
      </c>
      <c r="Z19" s="95">
        <v>584</v>
      </c>
      <c r="AA19" s="95">
        <v>579</v>
      </c>
      <c r="AB19" s="95">
        <v>574</v>
      </c>
      <c r="AC19" s="95">
        <v>569</v>
      </c>
      <c r="AD19" s="95">
        <v>566</v>
      </c>
      <c r="AE19" s="95">
        <v>564</v>
      </c>
      <c r="AF19" s="95">
        <v>568</v>
      </c>
      <c r="AG19" s="95">
        <v>569</v>
      </c>
      <c r="AH19" s="95">
        <v>572</v>
      </c>
      <c r="AI19" s="95">
        <v>578</v>
      </c>
      <c r="AJ19" s="95">
        <v>587</v>
      </c>
      <c r="AK19" s="95">
        <v>598</v>
      </c>
      <c r="AL19" s="95">
        <v>611</v>
      </c>
      <c r="AM19" s="95">
        <v>624</v>
      </c>
      <c r="AN19" s="95">
        <v>632</v>
      </c>
      <c r="AO19" s="95">
        <v>634</v>
      </c>
      <c r="AP19" s="95">
        <v>631</v>
      </c>
      <c r="AQ19" s="95">
        <v>625</v>
      </c>
      <c r="AR19" s="95">
        <v>620</v>
      </c>
      <c r="AS19" s="95">
        <v>609</v>
      </c>
      <c r="AT19" s="95">
        <v>595</v>
      </c>
      <c r="AU19" s="95">
        <v>579</v>
      </c>
      <c r="AV19" s="95">
        <v>562</v>
      </c>
      <c r="AW19" s="95">
        <v>546</v>
      </c>
      <c r="AX19" s="95">
        <v>532</v>
      </c>
      <c r="AY19" s="96">
        <v>522</v>
      </c>
    </row>
    <row r="20" spans="2:51" ht="15.75" thickBot="1" x14ac:dyDescent="0.3">
      <c r="B20" s="188"/>
      <c r="C20" s="90" t="s">
        <v>4</v>
      </c>
      <c r="D20" s="97">
        <v>2187</v>
      </c>
      <c r="E20" s="98">
        <v>2079</v>
      </c>
      <c r="F20" s="98">
        <v>2066</v>
      </c>
      <c r="G20" s="98">
        <v>2005</v>
      </c>
      <c r="H20" s="98">
        <v>1934</v>
      </c>
      <c r="I20" s="98">
        <v>1881</v>
      </c>
      <c r="J20" s="98">
        <v>1849</v>
      </c>
      <c r="K20" s="98">
        <v>1836</v>
      </c>
      <c r="L20" s="98">
        <v>1854</v>
      </c>
      <c r="M20" s="98">
        <v>1895</v>
      </c>
      <c r="N20" s="98">
        <v>1990</v>
      </c>
      <c r="O20" s="98">
        <v>2100</v>
      </c>
      <c r="P20" s="98">
        <v>2267</v>
      </c>
      <c r="Q20" s="98">
        <v>2405</v>
      </c>
      <c r="R20" s="98">
        <v>2433</v>
      </c>
      <c r="S20" s="98">
        <v>2495</v>
      </c>
      <c r="T20" s="98">
        <v>2539</v>
      </c>
      <c r="U20" s="98">
        <v>2551</v>
      </c>
      <c r="V20" s="98">
        <v>2558</v>
      </c>
      <c r="W20" s="98">
        <v>2553</v>
      </c>
      <c r="X20" s="98">
        <v>2549</v>
      </c>
      <c r="Y20" s="98">
        <v>2545</v>
      </c>
      <c r="Z20" s="98">
        <v>2541</v>
      </c>
      <c r="AA20" s="98">
        <v>2536</v>
      </c>
      <c r="AB20" s="98">
        <v>2531</v>
      </c>
      <c r="AC20" s="98">
        <v>2525</v>
      </c>
      <c r="AD20" s="98">
        <v>2525</v>
      </c>
      <c r="AE20" s="98">
        <v>2523</v>
      </c>
      <c r="AF20" s="98">
        <v>2516</v>
      </c>
      <c r="AG20" s="98">
        <v>2515</v>
      </c>
      <c r="AH20" s="98">
        <v>2525</v>
      </c>
      <c r="AI20" s="98">
        <v>2542</v>
      </c>
      <c r="AJ20" s="98">
        <v>2562</v>
      </c>
      <c r="AK20" s="98">
        <v>2586</v>
      </c>
      <c r="AL20" s="98">
        <v>2598</v>
      </c>
      <c r="AM20" s="98">
        <v>2626</v>
      </c>
      <c r="AN20" s="98">
        <v>2649</v>
      </c>
      <c r="AO20" s="98">
        <v>2669</v>
      </c>
      <c r="AP20" s="98">
        <v>2647</v>
      </c>
      <c r="AQ20" s="98">
        <v>2610</v>
      </c>
      <c r="AR20" s="98">
        <v>2546</v>
      </c>
      <c r="AS20" s="98">
        <v>2477</v>
      </c>
      <c r="AT20" s="98">
        <v>2382</v>
      </c>
      <c r="AU20" s="98">
        <v>2285</v>
      </c>
      <c r="AV20" s="98">
        <v>2227</v>
      </c>
      <c r="AW20" s="98">
        <v>2201</v>
      </c>
      <c r="AX20" s="98">
        <v>2317</v>
      </c>
      <c r="AY20" s="99">
        <v>2318</v>
      </c>
    </row>
    <row r="21" spans="2:51" x14ac:dyDescent="0.25">
      <c r="B21" s="186" t="s">
        <v>73</v>
      </c>
      <c r="C21" s="89" t="s">
        <v>0</v>
      </c>
      <c r="D21" s="100">
        <v>26.13</v>
      </c>
      <c r="E21" s="101">
        <v>24.78</v>
      </c>
      <c r="F21" s="101">
        <v>25.79</v>
      </c>
      <c r="G21" s="101">
        <v>23.39</v>
      </c>
      <c r="H21" s="101">
        <v>21.69</v>
      </c>
      <c r="I21" s="101">
        <v>20.46</v>
      </c>
      <c r="J21" s="101">
        <v>19.579999999999998</v>
      </c>
      <c r="K21" s="101">
        <v>19.170000000000002</v>
      </c>
      <c r="L21" s="101">
        <v>19.63</v>
      </c>
      <c r="M21" s="101">
        <v>20.41</v>
      </c>
      <c r="N21" s="101">
        <v>22.31</v>
      </c>
      <c r="O21" s="101">
        <v>23.74</v>
      </c>
      <c r="P21" s="101">
        <v>26.4</v>
      </c>
      <c r="Q21" s="101">
        <v>30.73</v>
      </c>
      <c r="R21" s="101">
        <v>27.04</v>
      </c>
      <c r="S21" s="101">
        <v>29.87</v>
      </c>
      <c r="T21" s="101">
        <v>32.04</v>
      </c>
      <c r="U21" s="101">
        <v>32</v>
      </c>
      <c r="V21" s="101">
        <v>34.380000000000003</v>
      </c>
      <c r="W21" s="101">
        <v>42.81</v>
      </c>
      <c r="X21" s="101">
        <v>38.35</v>
      </c>
      <c r="Y21" s="101">
        <v>40.24</v>
      </c>
      <c r="Z21" s="101">
        <v>38.4</v>
      </c>
      <c r="AA21" s="101">
        <v>37.229999999999997</v>
      </c>
      <c r="AB21" s="101">
        <v>42.16</v>
      </c>
      <c r="AC21" s="101">
        <v>42.33</v>
      </c>
      <c r="AD21" s="101">
        <v>43.49</v>
      </c>
      <c r="AE21" s="101">
        <v>42.86</v>
      </c>
      <c r="AF21" s="101">
        <v>47.03</v>
      </c>
      <c r="AG21" s="101">
        <v>50.26</v>
      </c>
      <c r="AH21" s="101">
        <v>55.11</v>
      </c>
      <c r="AI21" s="101">
        <v>47.49</v>
      </c>
      <c r="AJ21" s="101">
        <v>43</v>
      </c>
      <c r="AK21" s="101">
        <v>36.590000000000003</v>
      </c>
      <c r="AL21" s="101">
        <v>33.9</v>
      </c>
      <c r="AM21" s="101">
        <v>40.56</v>
      </c>
      <c r="AN21" s="101">
        <v>41.62</v>
      </c>
      <c r="AO21" s="101">
        <v>40.5</v>
      </c>
      <c r="AP21" s="101">
        <v>35.799999999999997</v>
      </c>
      <c r="AQ21" s="101">
        <v>32.64</v>
      </c>
      <c r="AR21" s="101">
        <v>30.19</v>
      </c>
      <c r="AS21" s="101">
        <v>28</v>
      </c>
      <c r="AT21" s="101">
        <v>27.51</v>
      </c>
      <c r="AU21" s="101">
        <v>24.86</v>
      </c>
      <c r="AV21" s="101">
        <v>29.21</v>
      </c>
      <c r="AW21" s="101">
        <v>27.56</v>
      </c>
      <c r="AX21" s="101">
        <v>30.91</v>
      </c>
      <c r="AY21" s="102">
        <v>28.01</v>
      </c>
    </row>
    <row r="22" spans="2:51" x14ac:dyDescent="0.25">
      <c r="B22" s="187" t="s">
        <v>73</v>
      </c>
      <c r="C22" s="76" t="s">
        <v>1</v>
      </c>
      <c r="D22" s="103">
        <v>23.49</v>
      </c>
      <c r="E22" s="104">
        <v>22.19</v>
      </c>
      <c r="F22" s="104">
        <v>21.36</v>
      </c>
      <c r="G22" s="104">
        <v>20.190000000000001</v>
      </c>
      <c r="H22" s="104">
        <v>20.73</v>
      </c>
      <c r="I22" s="104">
        <v>19.329999999999998</v>
      </c>
      <c r="J22" s="104">
        <v>18.07</v>
      </c>
      <c r="K22" s="104">
        <v>17.420000000000002</v>
      </c>
      <c r="L22" s="104">
        <v>17.98</v>
      </c>
      <c r="M22" s="104">
        <v>17.649999999999999</v>
      </c>
      <c r="N22" s="104">
        <v>20.07</v>
      </c>
      <c r="O22" s="104">
        <v>21.35</v>
      </c>
      <c r="P22" s="104">
        <v>23.49</v>
      </c>
      <c r="Q22" s="104">
        <v>26.05</v>
      </c>
      <c r="R22" s="104">
        <v>25.53</v>
      </c>
      <c r="S22" s="104">
        <v>28.89</v>
      </c>
      <c r="T22" s="104">
        <v>31.3</v>
      </c>
      <c r="U22" s="104">
        <v>33.67</v>
      </c>
      <c r="V22" s="104">
        <v>34.950000000000003</v>
      </c>
      <c r="W22" s="104">
        <v>33.979999999999997</v>
      </c>
      <c r="X22" s="104">
        <v>33.450000000000003</v>
      </c>
      <c r="Y22" s="104">
        <v>36.56</v>
      </c>
      <c r="Z22" s="104">
        <v>35.1</v>
      </c>
      <c r="AA22" s="104">
        <v>36.86</v>
      </c>
      <c r="AB22" s="104">
        <v>39.450000000000003</v>
      </c>
      <c r="AC22" s="104">
        <v>38.200000000000003</v>
      </c>
      <c r="AD22" s="104">
        <v>43.29</v>
      </c>
      <c r="AE22" s="104">
        <v>43.68</v>
      </c>
      <c r="AF22" s="104">
        <v>47.23</v>
      </c>
      <c r="AG22" s="104">
        <v>42.31</v>
      </c>
      <c r="AH22" s="104">
        <v>40.619999999999997</v>
      </c>
      <c r="AI22" s="104">
        <v>41.38</v>
      </c>
      <c r="AJ22" s="104">
        <v>42.3</v>
      </c>
      <c r="AK22" s="104">
        <v>36.380000000000003</v>
      </c>
      <c r="AL22" s="104">
        <v>32.99</v>
      </c>
      <c r="AM22" s="104">
        <v>37.79</v>
      </c>
      <c r="AN22" s="104">
        <v>46.38</v>
      </c>
      <c r="AO22" s="104">
        <v>44.02</v>
      </c>
      <c r="AP22" s="104">
        <v>37.049999999999997</v>
      </c>
      <c r="AQ22" s="104">
        <v>33.5</v>
      </c>
      <c r="AR22" s="104">
        <v>29.16</v>
      </c>
      <c r="AS22" s="104">
        <v>26.78</v>
      </c>
      <c r="AT22" s="104">
        <v>26.17</v>
      </c>
      <c r="AU22" s="104">
        <v>23.81</v>
      </c>
      <c r="AV22" s="104">
        <v>28.66</v>
      </c>
      <c r="AW22" s="104">
        <v>26.35</v>
      </c>
      <c r="AX22" s="104">
        <v>28.97</v>
      </c>
      <c r="AY22" s="105">
        <v>25.55</v>
      </c>
    </row>
    <row r="23" spans="2:51" x14ac:dyDescent="0.25">
      <c r="B23" s="187" t="s">
        <v>73</v>
      </c>
      <c r="C23" s="76" t="s">
        <v>2</v>
      </c>
      <c r="D23" s="103">
        <v>34.08</v>
      </c>
      <c r="E23" s="104">
        <v>30.44</v>
      </c>
      <c r="F23" s="104">
        <v>30.13</v>
      </c>
      <c r="G23" s="104">
        <v>25.68</v>
      </c>
      <c r="H23" s="104">
        <v>22.66</v>
      </c>
      <c r="I23" s="104">
        <v>20.079999999999998</v>
      </c>
      <c r="J23" s="104">
        <v>17.940000000000001</v>
      </c>
      <c r="K23" s="104">
        <v>17.68</v>
      </c>
      <c r="L23" s="104">
        <v>16.899999999999999</v>
      </c>
      <c r="M23" s="104">
        <v>17.579999999999998</v>
      </c>
      <c r="N23" s="104">
        <v>19.760000000000002</v>
      </c>
      <c r="O23" s="104">
        <v>21.82</v>
      </c>
      <c r="P23" s="104">
        <v>25.57</v>
      </c>
      <c r="Q23" s="104">
        <v>30.05</v>
      </c>
      <c r="R23" s="104">
        <v>32.020000000000003</v>
      </c>
      <c r="S23" s="104">
        <v>30.94</v>
      </c>
      <c r="T23" s="104">
        <v>35.69</v>
      </c>
      <c r="U23" s="104">
        <v>38.1</v>
      </c>
      <c r="V23" s="104">
        <v>39.49</v>
      </c>
      <c r="W23" s="104">
        <v>40.86</v>
      </c>
      <c r="X23" s="104">
        <v>38.18</v>
      </c>
      <c r="Y23" s="104">
        <v>41.85</v>
      </c>
      <c r="Z23" s="104">
        <v>39.619999999999997</v>
      </c>
      <c r="AA23" s="104">
        <v>36.18</v>
      </c>
      <c r="AB23" s="104">
        <v>42.79</v>
      </c>
      <c r="AC23" s="104">
        <v>41.78</v>
      </c>
      <c r="AD23" s="104">
        <v>43.83</v>
      </c>
      <c r="AE23" s="104">
        <v>51.96</v>
      </c>
      <c r="AF23" s="104">
        <v>42.45</v>
      </c>
      <c r="AG23" s="104">
        <v>40.68</v>
      </c>
      <c r="AH23" s="104">
        <v>44.53</v>
      </c>
      <c r="AI23" s="104">
        <v>45.15</v>
      </c>
      <c r="AJ23" s="104">
        <v>42.63</v>
      </c>
      <c r="AK23" s="104">
        <v>41.11</v>
      </c>
      <c r="AL23" s="104">
        <v>38.130000000000003</v>
      </c>
      <c r="AM23" s="104">
        <v>44.54</v>
      </c>
      <c r="AN23" s="104">
        <v>48.85</v>
      </c>
      <c r="AO23" s="104">
        <v>42.53</v>
      </c>
      <c r="AP23" s="104">
        <v>41.13</v>
      </c>
      <c r="AQ23" s="104">
        <v>36.32</v>
      </c>
      <c r="AR23" s="104">
        <v>36.409999999999997</v>
      </c>
      <c r="AS23" s="104">
        <v>33.06</v>
      </c>
      <c r="AT23" s="104">
        <v>33.340000000000003</v>
      </c>
      <c r="AU23" s="104">
        <v>30.16</v>
      </c>
      <c r="AV23" s="104">
        <v>31.02</v>
      </c>
      <c r="AW23" s="104">
        <v>29.3</v>
      </c>
      <c r="AX23" s="104">
        <v>32.46</v>
      </c>
      <c r="AY23" s="105">
        <v>41.6</v>
      </c>
    </row>
    <row r="24" spans="2:51" x14ac:dyDescent="0.25">
      <c r="B24" s="187" t="s">
        <v>73</v>
      </c>
      <c r="C24" s="76" t="s">
        <v>3</v>
      </c>
      <c r="D24" s="103">
        <v>33.65</v>
      </c>
      <c r="E24" s="104">
        <v>32</v>
      </c>
      <c r="F24" s="104">
        <v>33.93</v>
      </c>
      <c r="G24" s="104">
        <v>32.07</v>
      </c>
      <c r="H24" s="104">
        <v>31.41</v>
      </c>
      <c r="I24" s="104">
        <v>29.81</v>
      </c>
      <c r="J24" s="104">
        <v>28.3</v>
      </c>
      <c r="K24" s="104">
        <v>27.52</v>
      </c>
      <c r="L24" s="104">
        <v>31.22</v>
      </c>
      <c r="M24" s="104">
        <v>29.23</v>
      </c>
      <c r="N24" s="104">
        <v>31.18</v>
      </c>
      <c r="O24" s="104">
        <v>38.96</v>
      </c>
      <c r="P24" s="104">
        <v>42.03</v>
      </c>
      <c r="Q24" s="104">
        <v>53.83</v>
      </c>
      <c r="R24" s="104">
        <v>37.450000000000003</v>
      </c>
      <c r="S24" s="104">
        <v>42.01</v>
      </c>
      <c r="T24" s="104">
        <v>40.74</v>
      </c>
      <c r="U24" s="104">
        <v>38.869999999999997</v>
      </c>
      <c r="V24" s="104">
        <v>41.99</v>
      </c>
      <c r="W24" s="104">
        <v>41.68</v>
      </c>
      <c r="X24" s="104">
        <v>39.83</v>
      </c>
      <c r="Y24" s="104">
        <v>40.79</v>
      </c>
      <c r="Z24" s="104">
        <v>39.369999999999997</v>
      </c>
      <c r="AA24" s="104">
        <v>39.229999999999997</v>
      </c>
      <c r="AB24" s="104">
        <v>39.32</v>
      </c>
      <c r="AC24" s="104">
        <v>37.54</v>
      </c>
      <c r="AD24" s="104">
        <v>37.22</v>
      </c>
      <c r="AE24" s="104">
        <v>38.26</v>
      </c>
      <c r="AF24" s="104">
        <v>37.83</v>
      </c>
      <c r="AG24" s="104">
        <v>37.47</v>
      </c>
      <c r="AH24" s="104">
        <v>36.74</v>
      </c>
      <c r="AI24" s="104">
        <v>41.65</v>
      </c>
      <c r="AJ24" s="104">
        <v>44.71</v>
      </c>
      <c r="AK24" s="104">
        <v>40.76</v>
      </c>
      <c r="AL24" s="104">
        <v>41.16</v>
      </c>
      <c r="AM24" s="104">
        <v>41.39</v>
      </c>
      <c r="AN24" s="104">
        <v>43.34</v>
      </c>
      <c r="AO24" s="104">
        <v>43.6</v>
      </c>
      <c r="AP24" s="104">
        <v>43.14</v>
      </c>
      <c r="AQ24" s="104">
        <v>39.85</v>
      </c>
      <c r="AR24" s="104">
        <v>38.94</v>
      </c>
      <c r="AS24" s="104">
        <v>38.25</v>
      </c>
      <c r="AT24" s="104">
        <v>36.83</v>
      </c>
      <c r="AU24" s="104">
        <v>32.340000000000003</v>
      </c>
      <c r="AV24" s="104">
        <v>36.630000000000003</v>
      </c>
      <c r="AW24" s="104">
        <v>33.17</v>
      </c>
      <c r="AX24" s="104">
        <v>35.049999999999997</v>
      </c>
      <c r="AY24" s="105">
        <v>34.979999999999997</v>
      </c>
    </row>
    <row r="25" spans="2:51" ht="15.75" thickBot="1" x14ac:dyDescent="0.3">
      <c r="B25" s="188" t="s">
        <v>73</v>
      </c>
      <c r="C25" s="90" t="s">
        <v>4</v>
      </c>
      <c r="D25" s="106">
        <v>25.64</v>
      </c>
      <c r="E25" s="107">
        <v>23.37</v>
      </c>
      <c r="F25" s="107">
        <v>26.59</v>
      </c>
      <c r="G25" s="107">
        <v>22.45</v>
      </c>
      <c r="H25" s="107">
        <v>20.079999999999998</v>
      </c>
      <c r="I25" s="107">
        <v>18.38</v>
      </c>
      <c r="J25" s="107">
        <v>17.149999999999999</v>
      </c>
      <c r="K25" s="107">
        <v>16.22</v>
      </c>
      <c r="L25" s="107">
        <v>16.739999999999998</v>
      </c>
      <c r="M25" s="107">
        <v>17.34</v>
      </c>
      <c r="N25" s="107">
        <v>19.72</v>
      </c>
      <c r="O25" s="107">
        <v>21.36</v>
      </c>
      <c r="P25" s="107">
        <v>25.19</v>
      </c>
      <c r="Q25" s="107">
        <v>30.21</v>
      </c>
      <c r="R25" s="107">
        <v>26.55</v>
      </c>
      <c r="S25" s="107">
        <v>29.35</v>
      </c>
      <c r="T25" s="107">
        <v>31.82</v>
      </c>
      <c r="U25" s="107">
        <v>33.68</v>
      </c>
      <c r="V25" s="107">
        <v>36.14</v>
      </c>
      <c r="W25" s="107">
        <v>34.159999999999997</v>
      </c>
      <c r="X25" s="107">
        <v>33.57</v>
      </c>
      <c r="Y25" s="107">
        <v>35.4</v>
      </c>
      <c r="Z25" s="107">
        <v>33.83</v>
      </c>
      <c r="AA25" s="107">
        <v>33.479999999999997</v>
      </c>
      <c r="AB25" s="107">
        <v>39.43</v>
      </c>
      <c r="AC25" s="107">
        <v>38.049999999999997</v>
      </c>
      <c r="AD25" s="107">
        <v>40.340000000000003</v>
      </c>
      <c r="AE25" s="107">
        <v>38.35</v>
      </c>
      <c r="AF25" s="107">
        <v>39.49</v>
      </c>
      <c r="AG25" s="107">
        <v>37.96</v>
      </c>
      <c r="AH25" s="107">
        <v>42.13</v>
      </c>
      <c r="AI25" s="107">
        <v>43.25</v>
      </c>
      <c r="AJ25" s="107">
        <v>35.93</v>
      </c>
      <c r="AK25" s="107">
        <v>34.96</v>
      </c>
      <c r="AL25" s="107">
        <v>31.82</v>
      </c>
      <c r="AM25" s="107">
        <v>35.44</v>
      </c>
      <c r="AN25" s="107">
        <v>39.06</v>
      </c>
      <c r="AO25" s="107">
        <v>38.58</v>
      </c>
      <c r="AP25" s="107">
        <v>34.92</v>
      </c>
      <c r="AQ25" s="107">
        <v>32.700000000000003</v>
      </c>
      <c r="AR25" s="107">
        <v>31.13</v>
      </c>
      <c r="AS25" s="107">
        <v>28.98</v>
      </c>
      <c r="AT25" s="107">
        <v>27.77</v>
      </c>
      <c r="AU25" s="107">
        <v>24.88</v>
      </c>
      <c r="AV25" s="107">
        <v>27.64</v>
      </c>
      <c r="AW25" s="107">
        <v>25.73</v>
      </c>
      <c r="AX25" s="107">
        <v>30.64</v>
      </c>
      <c r="AY25" s="108">
        <v>28.42</v>
      </c>
    </row>
    <row r="26" spans="2:51" x14ac:dyDescent="0.25">
      <c r="B26" s="186" t="s">
        <v>92</v>
      </c>
      <c r="C26" s="89" t="s">
        <v>0</v>
      </c>
      <c r="D26" s="100">
        <v>26.11</v>
      </c>
      <c r="E26" s="101">
        <v>24.78</v>
      </c>
      <c r="F26" s="101">
        <v>25.73</v>
      </c>
      <c r="G26" s="101">
        <v>23.38</v>
      </c>
      <c r="H26" s="101">
        <v>21.65</v>
      </c>
      <c r="I26" s="101">
        <v>20.46</v>
      </c>
      <c r="J26" s="101">
        <v>19.579999999999998</v>
      </c>
      <c r="K26" s="101">
        <v>19.170000000000002</v>
      </c>
      <c r="L26" s="101">
        <v>19.63</v>
      </c>
      <c r="M26" s="101">
        <v>20.41</v>
      </c>
      <c r="N26" s="101">
        <v>22.29</v>
      </c>
      <c r="O26" s="101">
        <v>23.73</v>
      </c>
      <c r="P26" s="101">
        <v>26.22</v>
      </c>
      <c r="Q26" s="101">
        <v>29.45</v>
      </c>
      <c r="R26" s="101">
        <v>26.97</v>
      </c>
      <c r="S26" s="101">
        <v>29.72</v>
      </c>
      <c r="T26" s="101">
        <v>31.99</v>
      </c>
      <c r="U26" s="101">
        <v>32.14</v>
      </c>
      <c r="V26" s="101">
        <v>33.92</v>
      </c>
      <c r="W26" s="101">
        <v>33.78</v>
      </c>
      <c r="X26" s="101">
        <v>34.01</v>
      </c>
      <c r="Y26" s="101">
        <v>34.159999999999997</v>
      </c>
      <c r="Z26" s="101">
        <v>33.83</v>
      </c>
      <c r="AA26" s="101">
        <v>33.9</v>
      </c>
      <c r="AB26" s="101">
        <v>34.24</v>
      </c>
      <c r="AC26" s="101">
        <v>33.840000000000003</v>
      </c>
      <c r="AD26" s="101">
        <v>34.21</v>
      </c>
      <c r="AE26" s="101">
        <v>34.01</v>
      </c>
      <c r="AF26" s="101">
        <v>33.46</v>
      </c>
      <c r="AG26" s="101">
        <v>33.21</v>
      </c>
      <c r="AH26" s="101">
        <v>32.9</v>
      </c>
      <c r="AI26" s="101">
        <v>32.92</v>
      </c>
      <c r="AJ26" s="101">
        <v>32.380000000000003</v>
      </c>
      <c r="AK26" s="101">
        <v>32.11</v>
      </c>
      <c r="AL26" s="101">
        <v>31.34</v>
      </c>
      <c r="AM26" s="101">
        <v>34.74</v>
      </c>
      <c r="AN26" s="101">
        <v>37.92</v>
      </c>
      <c r="AO26" s="101">
        <v>38.19</v>
      </c>
      <c r="AP26" s="101">
        <v>34.07</v>
      </c>
      <c r="AQ26" s="101">
        <v>31.55</v>
      </c>
      <c r="AR26" s="101">
        <v>30.11</v>
      </c>
      <c r="AS26" s="101">
        <v>27.99</v>
      </c>
      <c r="AT26" s="101">
        <v>27.3</v>
      </c>
      <c r="AU26" s="101">
        <v>24.86</v>
      </c>
      <c r="AV26" s="101">
        <v>29.07</v>
      </c>
      <c r="AW26" s="101">
        <v>27.24</v>
      </c>
      <c r="AX26" s="101">
        <v>30.29</v>
      </c>
      <c r="AY26" s="102">
        <v>27.96</v>
      </c>
    </row>
    <row r="27" spans="2:51" x14ac:dyDescent="0.25">
      <c r="B27" s="187" t="s">
        <v>74</v>
      </c>
      <c r="C27" s="76" t="s">
        <v>1</v>
      </c>
      <c r="D27" s="103">
        <v>23.58</v>
      </c>
      <c r="E27" s="104">
        <v>22.2</v>
      </c>
      <c r="F27" s="104">
        <v>21.35</v>
      </c>
      <c r="G27" s="104">
        <v>20.190000000000001</v>
      </c>
      <c r="H27" s="104">
        <v>19.21</v>
      </c>
      <c r="I27" s="104">
        <v>18.579999999999998</v>
      </c>
      <c r="J27" s="104">
        <v>18.07</v>
      </c>
      <c r="K27" s="104">
        <v>17.420000000000002</v>
      </c>
      <c r="L27" s="104">
        <v>17.98</v>
      </c>
      <c r="M27" s="104">
        <v>17.59</v>
      </c>
      <c r="N27" s="104">
        <v>20.079999999999998</v>
      </c>
      <c r="O27" s="104">
        <v>21.34</v>
      </c>
      <c r="P27" s="104">
        <v>23.68</v>
      </c>
      <c r="Q27" s="104">
        <v>26.33</v>
      </c>
      <c r="R27" s="104">
        <v>25.3</v>
      </c>
      <c r="S27" s="104">
        <v>27.49</v>
      </c>
      <c r="T27" s="104">
        <v>30.32</v>
      </c>
      <c r="U27" s="104">
        <v>30.9</v>
      </c>
      <c r="V27" s="104">
        <v>32.520000000000003</v>
      </c>
      <c r="W27" s="104">
        <v>32.35</v>
      </c>
      <c r="X27" s="104">
        <v>32.39</v>
      </c>
      <c r="Y27" s="104">
        <v>32.869999999999997</v>
      </c>
      <c r="Z27" s="104">
        <v>32.85</v>
      </c>
      <c r="AA27" s="104">
        <v>33.380000000000003</v>
      </c>
      <c r="AB27" s="104">
        <v>33.299999999999997</v>
      </c>
      <c r="AC27" s="104">
        <v>32.76</v>
      </c>
      <c r="AD27" s="104">
        <v>33.43</v>
      </c>
      <c r="AE27" s="104">
        <v>33.72</v>
      </c>
      <c r="AF27" s="104">
        <v>33.33</v>
      </c>
      <c r="AG27" s="104">
        <v>32.479999999999997</v>
      </c>
      <c r="AH27" s="104">
        <v>31.76</v>
      </c>
      <c r="AI27" s="104">
        <v>32.24</v>
      </c>
      <c r="AJ27" s="104">
        <v>31.96</v>
      </c>
      <c r="AK27" s="104">
        <v>31.82</v>
      </c>
      <c r="AL27" s="104">
        <v>30.94</v>
      </c>
      <c r="AM27" s="104">
        <v>34.28</v>
      </c>
      <c r="AN27" s="104">
        <v>37.909999999999997</v>
      </c>
      <c r="AO27" s="104">
        <v>38.270000000000003</v>
      </c>
      <c r="AP27" s="104">
        <v>33.32</v>
      </c>
      <c r="AQ27" s="104">
        <v>30.64</v>
      </c>
      <c r="AR27" s="104">
        <v>28.68</v>
      </c>
      <c r="AS27" s="104">
        <v>26.6</v>
      </c>
      <c r="AT27" s="104">
        <v>25.96</v>
      </c>
      <c r="AU27" s="104">
        <v>23.71</v>
      </c>
      <c r="AV27" s="104">
        <v>27.62</v>
      </c>
      <c r="AW27" s="104">
        <v>26.23</v>
      </c>
      <c r="AX27" s="104">
        <v>28.62</v>
      </c>
      <c r="AY27" s="105">
        <v>25.55</v>
      </c>
    </row>
    <row r="28" spans="2:51" x14ac:dyDescent="0.25">
      <c r="B28" s="187" t="s">
        <v>74</v>
      </c>
      <c r="C28" s="76" t="s">
        <v>2</v>
      </c>
      <c r="D28" s="103">
        <v>30.57</v>
      </c>
      <c r="E28" s="104">
        <v>29.25</v>
      </c>
      <c r="F28" s="104">
        <v>29.05</v>
      </c>
      <c r="G28" s="104">
        <v>25.25</v>
      </c>
      <c r="H28" s="104">
        <v>22.25</v>
      </c>
      <c r="I28" s="104">
        <v>19.84</v>
      </c>
      <c r="J28" s="104">
        <v>17.79</v>
      </c>
      <c r="K28" s="104">
        <v>17.66</v>
      </c>
      <c r="L28" s="104">
        <v>16.82</v>
      </c>
      <c r="M28" s="104">
        <v>17.52</v>
      </c>
      <c r="N28" s="104">
        <v>19.68</v>
      </c>
      <c r="O28" s="104">
        <v>21.71</v>
      </c>
      <c r="P28" s="104">
        <v>25.14</v>
      </c>
      <c r="Q28" s="104">
        <v>28.93</v>
      </c>
      <c r="R28" s="104">
        <v>27.83</v>
      </c>
      <c r="S28" s="104">
        <v>30.96</v>
      </c>
      <c r="T28" s="104">
        <v>33.99</v>
      </c>
      <c r="U28" s="104">
        <v>34.68</v>
      </c>
      <c r="V28" s="104">
        <v>35.869999999999997</v>
      </c>
      <c r="W28" s="104">
        <v>35.85</v>
      </c>
      <c r="X28" s="104">
        <v>35.729999999999997</v>
      </c>
      <c r="Y28" s="104">
        <v>35.79</v>
      </c>
      <c r="Z28" s="104">
        <v>35.22</v>
      </c>
      <c r="AA28" s="104">
        <v>34.67</v>
      </c>
      <c r="AB28" s="104">
        <v>36.21</v>
      </c>
      <c r="AC28" s="104">
        <v>36.299999999999997</v>
      </c>
      <c r="AD28" s="104">
        <v>36.36</v>
      </c>
      <c r="AE28" s="104">
        <v>35.979999999999997</v>
      </c>
      <c r="AF28" s="104">
        <v>35.51</v>
      </c>
      <c r="AG28" s="104">
        <v>35.76</v>
      </c>
      <c r="AH28" s="104">
        <v>35.090000000000003</v>
      </c>
      <c r="AI28" s="104">
        <v>34.96</v>
      </c>
      <c r="AJ28" s="104">
        <v>34.75</v>
      </c>
      <c r="AK28" s="104">
        <v>34.619999999999997</v>
      </c>
      <c r="AL28" s="104">
        <v>34.31</v>
      </c>
      <c r="AM28" s="104">
        <v>36.94</v>
      </c>
      <c r="AN28" s="104">
        <v>39.79</v>
      </c>
      <c r="AO28" s="104">
        <v>40.43</v>
      </c>
      <c r="AP28" s="104">
        <v>37.47</v>
      </c>
      <c r="AQ28" s="104">
        <v>35.58</v>
      </c>
      <c r="AR28" s="104">
        <v>34.14</v>
      </c>
      <c r="AS28" s="104">
        <v>31.94</v>
      </c>
      <c r="AT28" s="104">
        <v>30.76</v>
      </c>
      <c r="AU28" s="104">
        <v>28</v>
      </c>
      <c r="AV28" s="104">
        <v>30.5</v>
      </c>
      <c r="AW28" s="104">
        <v>28.82</v>
      </c>
      <c r="AX28" s="104">
        <v>31.95</v>
      </c>
      <c r="AY28" s="105">
        <v>33.43</v>
      </c>
    </row>
    <row r="29" spans="2:51" x14ac:dyDescent="0.25">
      <c r="B29" s="187" t="s">
        <v>74</v>
      </c>
      <c r="C29" s="76" t="s">
        <v>3</v>
      </c>
      <c r="D29" s="103">
        <v>33.19</v>
      </c>
      <c r="E29" s="104">
        <v>32.01</v>
      </c>
      <c r="F29" s="104">
        <v>33.479999999999997</v>
      </c>
      <c r="G29" s="104">
        <v>31.74</v>
      </c>
      <c r="H29" s="104">
        <v>30.3</v>
      </c>
      <c r="I29" s="104">
        <v>28.72</v>
      </c>
      <c r="J29" s="104">
        <v>27.93</v>
      </c>
      <c r="K29" s="104">
        <v>27.7</v>
      </c>
      <c r="L29" s="104">
        <v>28.54</v>
      </c>
      <c r="M29" s="104">
        <v>28.44</v>
      </c>
      <c r="N29" s="104">
        <v>30.47</v>
      </c>
      <c r="O29" s="104">
        <v>33.15</v>
      </c>
      <c r="P29" s="104">
        <v>35.090000000000003</v>
      </c>
      <c r="Q29" s="104">
        <v>37.619999999999997</v>
      </c>
      <c r="R29" s="104">
        <v>35.61</v>
      </c>
      <c r="S29" s="104">
        <v>37.33</v>
      </c>
      <c r="T29" s="104">
        <v>38.49</v>
      </c>
      <c r="U29" s="104">
        <v>37.85</v>
      </c>
      <c r="V29" s="104">
        <v>38.950000000000003</v>
      </c>
      <c r="W29" s="104">
        <v>38.869999999999997</v>
      </c>
      <c r="X29" s="104">
        <v>38.630000000000003</v>
      </c>
      <c r="Y29" s="104">
        <v>38.29</v>
      </c>
      <c r="Z29" s="104">
        <v>38.06</v>
      </c>
      <c r="AA29" s="104">
        <v>38.08</v>
      </c>
      <c r="AB29" s="104">
        <v>38.06</v>
      </c>
      <c r="AC29" s="104">
        <v>37.03</v>
      </c>
      <c r="AD29" s="104">
        <v>36.92</v>
      </c>
      <c r="AE29" s="104">
        <v>37.49</v>
      </c>
      <c r="AF29" s="104">
        <v>37.65</v>
      </c>
      <c r="AG29" s="104">
        <v>36.94</v>
      </c>
      <c r="AH29" s="104">
        <v>36.380000000000003</v>
      </c>
      <c r="AI29" s="104">
        <v>36.89</v>
      </c>
      <c r="AJ29" s="104">
        <v>37.39</v>
      </c>
      <c r="AK29" s="104">
        <v>37.479999999999997</v>
      </c>
      <c r="AL29" s="104">
        <v>37.450000000000003</v>
      </c>
      <c r="AM29" s="104">
        <v>39.11</v>
      </c>
      <c r="AN29" s="104">
        <v>40.770000000000003</v>
      </c>
      <c r="AO29" s="104">
        <v>41.72</v>
      </c>
      <c r="AP29" s="104">
        <v>40.270000000000003</v>
      </c>
      <c r="AQ29" s="104">
        <v>39.380000000000003</v>
      </c>
      <c r="AR29" s="104">
        <v>38.43</v>
      </c>
      <c r="AS29" s="104">
        <v>35.369999999999997</v>
      </c>
      <c r="AT29" s="104">
        <v>34.58</v>
      </c>
      <c r="AU29" s="104">
        <v>32.81</v>
      </c>
      <c r="AV29" s="104">
        <v>35.130000000000003</v>
      </c>
      <c r="AW29" s="104">
        <v>33.200000000000003</v>
      </c>
      <c r="AX29" s="104">
        <v>35.44</v>
      </c>
      <c r="AY29" s="105">
        <v>34.549999999999997</v>
      </c>
    </row>
    <row r="30" spans="2:51" ht="15.75" thickBot="1" x14ac:dyDescent="0.3">
      <c r="B30" s="188" t="s">
        <v>74</v>
      </c>
      <c r="C30" s="90" t="s">
        <v>4</v>
      </c>
      <c r="D30" s="106">
        <v>24.98</v>
      </c>
      <c r="E30" s="107">
        <v>22.96</v>
      </c>
      <c r="F30" s="107">
        <v>25.63</v>
      </c>
      <c r="G30" s="107">
        <v>22.38</v>
      </c>
      <c r="H30" s="107">
        <v>20.04</v>
      </c>
      <c r="I30" s="107">
        <v>18.37</v>
      </c>
      <c r="J30" s="107">
        <v>17.149999999999999</v>
      </c>
      <c r="K30" s="107">
        <v>16.22</v>
      </c>
      <c r="L30" s="107">
        <v>16.739999999999998</v>
      </c>
      <c r="M30" s="107">
        <v>17.329999999999998</v>
      </c>
      <c r="N30" s="107">
        <v>19.71</v>
      </c>
      <c r="O30" s="107">
        <v>21.34</v>
      </c>
      <c r="P30" s="107">
        <v>24.88</v>
      </c>
      <c r="Q30" s="107">
        <v>28.89</v>
      </c>
      <c r="R30" s="107">
        <v>26.53</v>
      </c>
      <c r="S30" s="107">
        <v>29.37</v>
      </c>
      <c r="T30" s="107">
        <v>31.8</v>
      </c>
      <c r="U30" s="107">
        <v>32.049999999999997</v>
      </c>
      <c r="V30" s="107">
        <v>33.61</v>
      </c>
      <c r="W30" s="107">
        <v>33.229999999999997</v>
      </c>
      <c r="X30" s="107">
        <v>33.31</v>
      </c>
      <c r="Y30" s="107">
        <v>33.69</v>
      </c>
      <c r="Z30" s="107">
        <v>33.33</v>
      </c>
      <c r="AA30" s="107">
        <v>33.26</v>
      </c>
      <c r="AB30" s="107">
        <v>33.43</v>
      </c>
      <c r="AC30" s="107">
        <v>32.97</v>
      </c>
      <c r="AD30" s="107">
        <v>33.659999999999997</v>
      </c>
      <c r="AE30" s="107">
        <v>33.07</v>
      </c>
      <c r="AF30" s="107">
        <v>32.03</v>
      </c>
      <c r="AG30" s="107">
        <v>32.07</v>
      </c>
      <c r="AH30" s="107">
        <v>31.69</v>
      </c>
      <c r="AI30" s="107">
        <v>31.52</v>
      </c>
      <c r="AJ30" s="107">
        <v>31.27</v>
      </c>
      <c r="AK30" s="107">
        <v>31.24</v>
      </c>
      <c r="AL30" s="107">
        <v>30.68</v>
      </c>
      <c r="AM30" s="107">
        <v>33.64</v>
      </c>
      <c r="AN30" s="107">
        <v>36.76</v>
      </c>
      <c r="AO30" s="107">
        <v>37.25</v>
      </c>
      <c r="AP30" s="107">
        <v>33.85</v>
      </c>
      <c r="AQ30" s="107">
        <v>31.75</v>
      </c>
      <c r="AR30" s="107">
        <v>30.21</v>
      </c>
      <c r="AS30" s="107">
        <v>28.09</v>
      </c>
      <c r="AT30" s="107">
        <v>26.9</v>
      </c>
      <c r="AU30" s="107">
        <v>24.13</v>
      </c>
      <c r="AV30" s="107">
        <v>27.2</v>
      </c>
      <c r="AW30" s="107">
        <v>25.39</v>
      </c>
      <c r="AX30" s="107">
        <v>29.84</v>
      </c>
      <c r="AY30" s="108">
        <v>27.66</v>
      </c>
    </row>
    <row r="31" spans="2:51" x14ac:dyDescent="0.25">
      <c r="B31" s="186" t="s">
        <v>93</v>
      </c>
      <c r="C31" s="89" t="s">
        <v>0</v>
      </c>
      <c r="D31" s="100">
        <v>26.13</v>
      </c>
      <c r="E31" s="101">
        <v>24.78</v>
      </c>
      <c r="F31" s="101">
        <v>25.79</v>
      </c>
      <c r="G31" s="101">
        <v>23.41</v>
      </c>
      <c r="H31" s="101">
        <v>21.68</v>
      </c>
      <c r="I31" s="101">
        <v>20.46</v>
      </c>
      <c r="J31" s="101">
        <v>19.579999999999998</v>
      </c>
      <c r="K31" s="101">
        <v>19.170000000000002</v>
      </c>
      <c r="L31" s="101">
        <v>19.63</v>
      </c>
      <c r="M31" s="101">
        <v>20.41</v>
      </c>
      <c r="N31" s="101">
        <v>22.31</v>
      </c>
      <c r="O31" s="101">
        <v>23.74</v>
      </c>
      <c r="P31" s="101">
        <v>26.27</v>
      </c>
      <c r="Q31" s="101">
        <v>29.67</v>
      </c>
      <c r="R31" s="101">
        <v>27.04</v>
      </c>
      <c r="S31" s="101">
        <v>29.82</v>
      </c>
      <c r="T31" s="101">
        <v>32.17</v>
      </c>
      <c r="U31" s="101">
        <v>32.28</v>
      </c>
      <c r="V31" s="101">
        <v>34.15</v>
      </c>
      <c r="W31" s="101">
        <v>34.17</v>
      </c>
      <c r="X31" s="101">
        <v>34.380000000000003</v>
      </c>
      <c r="Y31" s="101">
        <v>34.630000000000003</v>
      </c>
      <c r="Z31" s="101">
        <v>34.36</v>
      </c>
      <c r="AA31" s="101">
        <v>34.39</v>
      </c>
      <c r="AB31" s="101">
        <v>35.020000000000003</v>
      </c>
      <c r="AC31" s="101">
        <v>34.840000000000003</v>
      </c>
      <c r="AD31" s="101">
        <v>35.46</v>
      </c>
      <c r="AE31" s="101">
        <v>35.39</v>
      </c>
      <c r="AF31" s="101">
        <v>34.909999999999997</v>
      </c>
      <c r="AG31" s="101">
        <v>34.9</v>
      </c>
      <c r="AH31" s="101">
        <v>34.74</v>
      </c>
      <c r="AI31" s="101">
        <v>34.590000000000003</v>
      </c>
      <c r="AJ31" s="101">
        <v>33.630000000000003</v>
      </c>
      <c r="AK31" s="101">
        <v>33.03</v>
      </c>
      <c r="AL31" s="101">
        <v>32.03</v>
      </c>
      <c r="AM31" s="101">
        <v>36.090000000000003</v>
      </c>
      <c r="AN31" s="101">
        <v>39.340000000000003</v>
      </c>
      <c r="AO31" s="101">
        <v>39.07</v>
      </c>
      <c r="AP31" s="101">
        <v>34.33</v>
      </c>
      <c r="AQ31" s="101">
        <v>31.68</v>
      </c>
      <c r="AR31" s="101">
        <v>30.19</v>
      </c>
      <c r="AS31" s="101">
        <v>28.01</v>
      </c>
      <c r="AT31" s="101">
        <v>27.36</v>
      </c>
      <c r="AU31" s="101">
        <v>24.86</v>
      </c>
      <c r="AV31" s="101">
        <v>29.16</v>
      </c>
      <c r="AW31" s="101">
        <v>27.31</v>
      </c>
      <c r="AX31" s="101">
        <v>30.44</v>
      </c>
      <c r="AY31" s="102">
        <v>28.01</v>
      </c>
    </row>
    <row r="32" spans="2:51" x14ac:dyDescent="0.25">
      <c r="B32" s="187" t="s">
        <v>74</v>
      </c>
      <c r="C32" s="76" t="s">
        <v>1</v>
      </c>
      <c r="D32" s="103">
        <v>23.56</v>
      </c>
      <c r="E32" s="104">
        <v>22.2</v>
      </c>
      <c r="F32" s="104">
        <v>21.36</v>
      </c>
      <c r="G32" s="104">
        <v>20.21</v>
      </c>
      <c r="H32" s="104">
        <v>19.27</v>
      </c>
      <c r="I32" s="104">
        <v>18.63</v>
      </c>
      <c r="J32" s="104">
        <v>18.07</v>
      </c>
      <c r="K32" s="104">
        <v>17.420000000000002</v>
      </c>
      <c r="L32" s="104">
        <v>17.98</v>
      </c>
      <c r="M32" s="104">
        <v>17.59</v>
      </c>
      <c r="N32" s="104">
        <v>20.09</v>
      </c>
      <c r="O32" s="104">
        <v>21.35</v>
      </c>
      <c r="P32" s="104">
        <v>23.63</v>
      </c>
      <c r="Q32" s="104">
        <v>26.36</v>
      </c>
      <c r="R32" s="104">
        <v>25.44</v>
      </c>
      <c r="S32" s="104">
        <v>27.7</v>
      </c>
      <c r="T32" s="104">
        <v>30.83</v>
      </c>
      <c r="U32" s="104">
        <v>31.35</v>
      </c>
      <c r="V32" s="104">
        <v>33.07</v>
      </c>
      <c r="W32" s="104">
        <v>32.97</v>
      </c>
      <c r="X32" s="104">
        <v>32.86</v>
      </c>
      <c r="Y32" s="104">
        <v>33.659999999999997</v>
      </c>
      <c r="Z32" s="104">
        <v>33.729999999999997</v>
      </c>
      <c r="AA32" s="104">
        <v>34.229999999999997</v>
      </c>
      <c r="AB32" s="104">
        <v>34.4</v>
      </c>
      <c r="AC32" s="104">
        <v>33.75</v>
      </c>
      <c r="AD32" s="104">
        <v>35.06</v>
      </c>
      <c r="AE32" s="104">
        <v>35.450000000000003</v>
      </c>
      <c r="AF32" s="104">
        <v>35.369999999999997</v>
      </c>
      <c r="AG32" s="104">
        <v>34.409999999999997</v>
      </c>
      <c r="AH32" s="104">
        <v>33.17</v>
      </c>
      <c r="AI32" s="104">
        <v>33.96</v>
      </c>
      <c r="AJ32" s="104">
        <v>33.61</v>
      </c>
      <c r="AK32" s="104">
        <v>32.880000000000003</v>
      </c>
      <c r="AL32" s="104">
        <v>31.49</v>
      </c>
      <c r="AM32" s="104">
        <v>35.520000000000003</v>
      </c>
      <c r="AN32" s="104">
        <v>39.700000000000003</v>
      </c>
      <c r="AO32" s="104">
        <v>39.75</v>
      </c>
      <c r="AP32" s="104">
        <v>34.04</v>
      </c>
      <c r="AQ32" s="104">
        <v>31.01</v>
      </c>
      <c r="AR32" s="104">
        <v>28.76</v>
      </c>
      <c r="AS32" s="104">
        <v>26.64</v>
      </c>
      <c r="AT32" s="104">
        <v>26.04</v>
      </c>
      <c r="AU32" s="104">
        <v>23.76</v>
      </c>
      <c r="AV32" s="104">
        <v>27.8</v>
      </c>
      <c r="AW32" s="104">
        <v>26.36</v>
      </c>
      <c r="AX32" s="104">
        <v>28.78</v>
      </c>
      <c r="AY32" s="105">
        <v>25.55</v>
      </c>
    </row>
    <row r="33" spans="2:51" x14ac:dyDescent="0.25">
      <c r="B33" s="187" t="s">
        <v>74</v>
      </c>
      <c r="C33" s="76" t="s">
        <v>2</v>
      </c>
      <c r="D33" s="103">
        <v>30.78</v>
      </c>
      <c r="E33" s="104">
        <v>29.52</v>
      </c>
      <c r="F33" s="104">
        <v>29.25</v>
      </c>
      <c r="G33" s="104">
        <v>25.37</v>
      </c>
      <c r="H33" s="104">
        <v>22.4</v>
      </c>
      <c r="I33" s="104">
        <v>19.899999999999999</v>
      </c>
      <c r="J33" s="104">
        <v>17.82</v>
      </c>
      <c r="K33" s="104">
        <v>17.68</v>
      </c>
      <c r="L33" s="104">
        <v>16.899999999999999</v>
      </c>
      <c r="M33" s="104">
        <v>17.579999999999998</v>
      </c>
      <c r="N33" s="104">
        <v>19.760000000000002</v>
      </c>
      <c r="O33" s="104">
        <v>21.73</v>
      </c>
      <c r="P33" s="104">
        <v>25.32</v>
      </c>
      <c r="Q33" s="104">
        <v>29.13</v>
      </c>
      <c r="R33" s="104">
        <v>28.25</v>
      </c>
      <c r="S33" s="104">
        <v>31.07</v>
      </c>
      <c r="T33" s="104">
        <v>34.36</v>
      </c>
      <c r="U33" s="104">
        <v>35.08</v>
      </c>
      <c r="V33" s="104">
        <v>36.28</v>
      </c>
      <c r="W33" s="104">
        <v>36.46</v>
      </c>
      <c r="X33" s="104">
        <v>36.229999999999997</v>
      </c>
      <c r="Y33" s="104">
        <v>36.56</v>
      </c>
      <c r="Z33" s="104">
        <v>36.01</v>
      </c>
      <c r="AA33" s="104">
        <v>35.18</v>
      </c>
      <c r="AB33" s="104">
        <v>37.409999999999997</v>
      </c>
      <c r="AC33" s="104">
        <v>37.619999999999997</v>
      </c>
      <c r="AD33" s="104">
        <v>37.83</v>
      </c>
      <c r="AE33" s="104">
        <v>37.869999999999997</v>
      </c>
      <c r="AF33" s="104">
        <v>36.950000000000003</v>
      </c>
      <c r="AG33" s="104">
        <v>37.24</v>
      </c>
      <c r="AH33" s="104">
        <v>36.619999999999997</v>
      </c>
      <c r="AI33" s="104">
        <v>36.53</v>
      </c>
      <c r="AJ33" s="104">
        <v>35.979999999999997</v>
      </c>
      <c r="AK33" s="104">
        <v>35.630000000000003</v>
      </c>
      <c r="AL33" s="104">
        <v>35.26</v>
      </c>
      <c r="AM33" s="104">
        <v>38.130000000000003</v>
      </c>
      <c r="AN33" s="104">
        <v>41.12</v>
      </c>
      <c r="AO33" s="104">
        <v>41.41</v>
      </c>
      <c r="AP33" s="104">
        <v>38</v>
      </c>
      <c r="AQ33" s="104">
        <v>35.85</v>
      </c>
      <c r="AR33" s="104">
        <v>34.43</v>
      </c>
      <c r="AS33" s="104">
        <v>32.1</v>
      </c>
      <c r="AT33" s="104">
        <v>30.97</v>
      </c>
      <c r="AU33" s="104">
        <v>28.17</v>
      </c>
      <c r="AV33" s="104">
        <v>30.7</v>
      </c>
      <c r="AW33" s="104">
        <v>28.92</v>
      </c>
      <c r="AX33" s="104">
        <v>32.130000000000003</v>
      </c>
      <c r="AY33" s="105">
        <v>33.93</v>
      </c>
    </row>
    <row r="34" spans="2:51" x14ac:dyDescent="0.25">
      <c r="B34" s="187" t="s">
        <v>74</v>
      </c>
      <c r="C34" s="76" t="s">
        <v>3</v>
      </c>
      <c r="D34" s="103">
        <v>33.44</v>
      </c>
      <c r="E34" s="104">
        <v>32.21</v>
      </c>
      <c r="F34" s="104">
        <v>33.729999999999997</v>
      </c>
      <c r="G34" s="104">
        <v>31.94</v>
      </c>
      <c r="H34" s="104">
        <v>30.54</v>
      </c>
      <c r="I34" s="104">
        <v>29.02</v>
      </c>
      <c r="J34" s="104">
        <v>28.17</v>
      </c>
      <c r="K34" s="104">
        <v>27.83</v>
      </c>
      <c r="L34" s="104">
        <v>28.9</v>
      </c>
      <c r="M34" s="104">
        <v>28.8</v>
      </c>
      <c r="N34" s="104">
        <v>30.93</v>
      </c>
      <c r="O34" s="104">
        <v>33.869999999999997</v>
      </c>
      <c r="P34" s="104">
        <v>35.78</v>
      </c>
      <c r="Q34" s="104">
        <v>38.56</v>
      </c>
      <c r="R34" s="104">
        <v>36.200000000000003</v>
      </c>
      <c r="S34" s="104">
        <v>38.03</v>
      </c>
      <c r="T34" s="104">
        <v>39.26</v>
      </c>
      <c r="U34" s="104">
        <v>38.340000000000003</v>
      </c>
      <c r="V34" s="104">
        <v>39.659999999999997</v>
      </c>
      <c r="W34" s="104">
        <v>39.4</v>
      </c>
      <c r="X34" s="104">
        <v>39.04</v>
      </c>
      <c r="Y34" s="104">
        <v>38.69</v>
      </c>
      <c r="Z34" s="104">
        <v>38.450000000000003</v>
      </c>
      <c r="AA34" s="104">
        <v>38.32</v>
      </c>
      <c r="AB34" s="104">
        <v>38.549999999999997</v>
      </c>
      <c r="AC34" s="104">
        <v>37.380000000000003</v>
      </c>
      <c r="AD34" s="104">
        <v>37.19</v>
      </c>
      <c r="AE34" s="104">
        <v>37.83</v>
      </c>
      <c r="AF34" s="104">
        <v>38</v>
      </c>
      <c r="AG34" s="104">
        <v>37.369999999999997</v>
      </c>
      <c r="AH34" s="104">
        <v>36.65</v>
      </c>
      <c r="AI34" s="104">
        <v>37.28</v>
      </c>
      <c r="AJ34" s="104">
        <v>37.89</v>
      </c>
      <c r="AK34" s="104">
        <v>38.04</v>
      </c>
      <c r="AL34" s="104">
        <v>38.01</v>
      </c>
      <c r="AM34" s="104">
        <v>40.36</v>
      </c>
      <c r="AN34" s="104">
        <v>42.49</v>
      </c>
      <c r="AO34" s="104">
        <v>42.68</v>
      </c>
      <c r="AP34" s="104">
        <v>40.770000000000003</v>
      </c>
      <c r="AQ34" s="104">
        <v>39.76</v>
      </c>
      <c r="AR34" s="104">
        <v>38.76</v>
      </c>
      <c r="AS34" s="104">
        <v>35.799999999999997</v>
      </c>
      <c r="AT34" s="104">
        <v>35.03</v>
      </c>
      <c r="AU34" s="104">
        <v>32.86</v>
      </c>
      <c r="AV34" s="104">
        <v>35.619999999999997</v>
      </c>
      <c r="AW34" s="104">
        <v>33.450000000000003</v>
      </c>
      <c r="AX34" s="104">
        <v>35.76</v>
      </c>
      <c r="AY34" s="105">
        <v>34.880000000000003</v>
      </c>
    </row>
    <row r="35" spans="2:51" ht="15.75" thickBot="1" x14ac:dyDescent="0.3">
      <c r="B35" s="188" t="s">
        <v>74</v>
      </c>
      <c r="C35" s="90" t="s">
        <v>4</v>
      </c>
      <c r="D35" s="106">
        <v>25.03</v>
      </c>
      <c r="E35" s="107">
        <v>23</v>
      </c>
      <c r="F35" s="107">
        <v>25.77</v>
      </c>
      <c r="G35" s="107">
        <v>22.4</v>
      </c>
      <c r="H35" s="107">
        <v>20.05</v>
      </c>
      <c r="I35" s="107">
        <v>18.38</v>
      </c>
      <c r="J35" s="107">
        <v>17.149999999999999</v>
      </c>
      <c r="K35" s="107">
        <v>16.22</v>
      </c>
      <c r="L35" s="107">
        <v>16.739999999999998</v>
      </c>
      <c r="M35" s="107">
        <v>17.34</v>
      </c>
      <c r="N35" s="107">
        <v>19.72</v>
      </c>
      <c r="O35" s="107">
        <v>21.36</v>
      </c>
      <c r="P35" s="107">
        <v>24.94</v>
      </c>
      <c r="Q35" s="107">
        <v>29.09</v>
      </c>
      <c r="R35" s="107">
        <v>26.55</v>
      </c>
      <c r="S35" s="107">
        <v>29.4</v>
      </c>
      <c r="T35" s="107">
        <v>31.88</v>
      </c>
      <c r="U35" s="107">
        <v>32.15</v>
      </c>
      <c r="V35" s="107">
        <v>33.83</v>
      </c>
      <c r="W35" s="107">
        <v>33.409999999999997</v>
      </c>
      <c r="X35" s="107">
        <v>33.39</v>
      </c>
      <c r="Y35" s="107">
        <v>33.9</v>
      </c>
      <c r="Z35" s="107">
        <v>33.659999999999997</v>
      </c>
      <c r="AA35" s="107">
        <v>33.42</v>
      </c>
      <c r="AB35" s="107">
        <v>34</v>
      </c>
      <c r="AC35" s="107">
        <v>33.68</v>
      </c>
      <c r="AD35" s="107">
        <v>34.549999999999997</v>
      </c>
      <c r="AE35" s="107">
        <v>34</v>
      </c>
      <c r="AF35" s="107">
        <v>32.83</v>
      </c>
      <c r="AG35" s="107">
        <v>33.08</v>
      </c>
      <c r="AH35" s="107">
        <v>32.54</v>
      </c>
      <c r="AI35" s="107">
        <v>32.369999999999997</v>
      </c>
      <c r="AJ35" s="107">
        <v>31.85</v>
      </c>
      <c r="AK35" s="107">
        <v>31.63</v>
      </c>
      <c r="AL35" s="107">
        <v>31.01</v>
      </c>
      <c r="AM35" s="107">
        <v>34.33</v>
      </c>
      <c r="AN35" s="107">
        <v>37.58</v>
      </c>
      <c r="AO35" s="107">
        <v>37.85</v>
      </c>
      <c r="AP35" s="107">
        <v>33.99</v>
      </c>
      <c r="AQ35" s="107">
        <v>31.83</v>
      </c>
      <c r="AR35" s="107">
        <v>30.26</v>
      </c>
      <c r="AS35" s="107">
        <v>28.12</v>
      </c>
      <c r="AT35" s="107">
        <v>26.94</v>
      </c>
      <c r="AU35" s="107">
        <v>24.16</v>
      </c>
      <c r="AV35" s="107">
        <v>27.27</v>
      </c>
      <c r="AW35" s="107">
        <v>25.42</v>
      </c>
      <c r="AX35" s="107">
        <v>29.97</v>
      </c>
      <c r="AY35" s="108">
        <v>27.7</v>
      </c>
    </row>
    <row r="36" spans="2:51" x14ac:dyDescent="0.25">
      <c r="B36" s="186" t="s">
        <v>94</v>
      </c>
      <c r="C36" s="89" t="s">
        <v>0</v>
      </c>
      <c r="D36" s="100">
        <v>26.13</v>
      </c>
      <c r="E36" s="101">
        <v>24.78</v>
      </c>
      <c r="F36" s="101">
        <v>25.79</v>
      </c>
      <c r="G36" s="101">
        <v>23.42</v>
      </c>
      <c r="H36" s="101">
        <v>21.69</v>
      </c>
      <c r="I36" s="101">
        <v>20.46</v>
      </c>
      <c r="J36" s="101">
        <v>19.579999999999998</v>
      </c>
      <c r="K36" s="101">
        <v>19.170000000000002</v>
      </c>
      <c r="L36" s="101">
        <v>19.63</v>
      </c>
      <c r="M36" s="101">
        <v>20.41</v>
      </c>
      <c r="N36" s="101">
        <v>22.31</v>
      </c>
      <c r="O36" s="101">
        <v>23.74</v>
      </c>
      <c r="P36" s="101">
        <v>26.28</v>
      </c>
      <c r="Q36" s="101">
        <v>29.78</v>
      </c>
      <c r="R36" s="101">
        <v>27.04</v>
      </c>
      <c r="S36" s="101">
        <v>29.87</v>
      </c>
      <c r="T36" s="101">
        <v>32.200000000000003</v>
      </c>
      <c r="U36" s="101">
        <v>32.33</v>
      </c>
      <c r="V36" s="101">
        <v>34.229999999999997</v>
      </c>
      <c r="W36" s="101">
        <v>34.44</v>
      </c>
      <c r="X36" s="101">
        <v>34.619999999999997</v>
      </c>
      <c r="Y36" s="101">
        <v>34.869999999999997</v>
      </c>
      <c r="Z36" s="101">
        <v>34.590000000000003</v>
      </c>
      <c r="AA36" s="101">
        <v>34.65</v>
      </c>
      <c r="AB36" s="101">
        <v>35.369999999999997</v>
      </c>
      <c r="AC36" s="101">
        <v>35.24</v>
      </c>
      <c r="AD36" s="101">
        <v>36.03</v>
      </c>
      <c r="AE36" s="101">
        <v>36.19</v>
      </c>
      <c r="AF36" s="101">
        <v>35.82</v>
      </c>
      <c r="AG36" s="101">
        <v>35.97</v>
      </c>
      <c r="AH36" s="101">
        <v>36.03</v>
      </c>
      <c r="AI36" s="101">
        <v>35.72</v>
      </c>
      <c r="AJ36" s="101">
        <v>34.56</v>
      </c>
      <c r="AK36" s="101">
        <v>33.6</v>
      </c>
      <c r="AL36" s="101">
        <v>32.43</v>
      </c>
      <c r="AM36" s="101">
        <v>36.61</v>
      </c>
      <c r="AN36" s="101">
        <v>39.85</v>
      </c>
      <c r="AO36" s="101">
        <v>39.44</v>
      </c>
      <c r="AP36" s="101">
        <v>34.39</v>
      </c>
      <c r="AQ36" s="101">
        <v>31.72</v>
      </c>
      <c r="AR36" s="101">
        <v>30.19</v>
      </c>
      <c r="AS36" s="101">
        <v>28.01</v>
      </c>
      <c r="AT36" s="101">
        <v>27.4</v>
      </c>
      <c r="AU36" s="101">
        <v>24.86</v>
      </c>
      <c r="AV36" s="101">
        <v>29.17</v>
      </c>
      <c r="AW36" s="101">
        <v>27.31</v>
      </c>
      <c r="AX36" s="101">
        <v>30.46</v>
      </c>
      <c r="AY36" s="102">
        <v>28.01</v>
      </c>
    </row>
    <row r="37" spans="2:51" x14ac:dyDescent="0.25">
      <c r="B37" s="187" t="s">
        <v>74</v>
      </c>
      <c r="C37" s="76" t="s">
        <v>1</v>
      </c>
      <c r="D37" s="103">
        <v>23.53</v>
      </c>
      <c r="E37" s="104">
        <v>22.19</v>
      </c>
      <c r="F37" s="104">
        <v>21.36</v>
      </c>
      <c r="G37" s="104">
        <v>20.2</v>
      </c>
      <c r="H37" s="104">
        <v>19.32</v>
      </c>
      <c r="I37" s="104">
        <v>18.690000000000001</v>
      </c>
      <c r="J37" s="104">
        <v>18.07</v>
      </c>
      <c r="K37" s="104">
        <v>17.420000000000002</v>
      </c>
      <c r="L37" s="104">
        <v>17.98</v>
      </c>
      <c r="M37" s="104">
        <v>17.59</v>
      </c>
      <c r="N37" s="104">
        <v>20.079999999999998</v>
      </c>
      <c r="O37" s="104">
        <v>21.35</v>
      </c>
      <c r="P37" s="104">
        <v>23.62</v>
      </c>
      <c r="Q37" s="104">
        <v>26.4</v>
      </c>
      <c r="R37" s="104">
        <v>25.51</v>
      </c>
      <c r="S37" s="104">
        <v>27.82</v>
      </c>
      <c r="T37" s="104">
        <v>30.98</v>
      </c>
      <c r="U37" s="104">
        <v>31.55</v>
      </c>
      <c r="V37" s="104">
        <v>33.39</v>
      </c>
      <c r="W37" s="104">
        <v>33.22</v>
      </c>
      <c r="X37" s="104">
        <v>33.03</v>
      </c>
      <c r="Y37" s="104">
        <v>33.99</v>
      </c>
      <c r="Z37" s="104">
        <v>33.950000000000003</v>
      </c>
      <c r="AA37" s="104">
        <v>34.69</v>
      </c>
      <c r="AB37" s="104">
        <v>34.81</v>
      </c>
      <c r="AC37" s="104">
        <v>34.06</v>
      </c>
      <c r="AD37" s="104">
        <v>35.75</v>
      </c>
      <c r="AE37" s="104">
        <v>36.409999999999997</v>
      </c>
      <c r="AF37" s="104">
        <v>36.65</v>
      </c>
      <c r="AG37" s="104">
        <v>35.51</v>
      </c>
      <c r="AH37" s="104">
        <v>34.020000000000003</v>
      </c>
      <c r="AI37" s="104">
        <v>35.06</v>
      </c>
      <c r="AJ37" s="104">
        <v>34.6</v>
      </c>
      <c r="AK37" s="104">
        <v>33.369999999999997</v>
      </c>
      <c r="AL37" s="104">
        <v>31.67</v>
      </c>
      <c r="AM37" s="104">
        <v>35.89</v>
      </c>
      <c r="AN37" s="104">
        <v>40.54</v>
      </c>
      <c r="AO37" s="104">
        <v>40.43</v>
      </c>
      <c r="AP37" s="104">
        <v>34.43</v>
      </c>
      <c r="AQ37" s="104">
        <v>31.2</v>
      </c>
      <c r="AR37" s="104">
        <v>28.78</v>
      </c>
      <c r="AS37" s="104">
        <v>26.66</v>
      </c>
      <c r="AT37" s="104">
        <v>26.06</v>
      </c>
      <c r="AU37" s="104">
        <v>23.77</v>
      </c>
      <c r="AV37" s="104">
        <v>27.89</v>
      </c>
      <c r="AW37" s="104">
        <v>26.41</v>
      </c>
      <c r="AX37" s="104">
        <v>28.86</v>
      </c>
      <c r="AY37" s="105">
        <v>25.55</v>
      </c>
    </row>
    <row r="38" spans="2:51" x14ac:dyDescent="0.25">
      <c r="B38" s="187" t="s">
        <v>74</v>
      </c>
      <c r="C38" s="76" t="s">
        <v>2</v>
      </c>
      <c r="D38" s="103">
        <v>30.9</v>
      </c>
      <c r="E38" s="104">
        <v>29.61</v>
      </c>
      <c r="F38" s="104">
        <v>29.36</v>
      </c>
      <c r="G38" s="104">
        <v>25.4</v>
      </c>
      <c r="H38" s="104">
        <v>22.44</v>
      </c>
      <c r="I38" s="104">
        <v>19.920000000000002</v>
      </c>
      <c r="J38" s="104">
        <v>17.829999999999998</v>
      </c>
      <c r="K38" s="104">
        <v>17.68</v>
      </c>
      <c r="L38" s="104">
        <v>16.899999999999999</v>
      </c>
      <c r="M38" s="104">
        <v>17.579999999999998</v>
      </c>
      <c r="N38" s="104">
        <v>19.760000000000002</v>
      </c>
      <c r="O38" s="104">
        <v>21.74</v>
      </c>
      <c r="P38" s="104">
        <v>25.37</v>
      </c>
      <c r="Q38" s="104">
        <v>29.24</v>
      </c>
      <c r="R38" s="104">
        <v>28.57</v>
      </c>
      <c r="S38" s="104">
        <v>31.07</v>
      </c>
      <c r="T38" s="104">
        <v>34.409999999999997</v>
      </c>
      <c r="U38" s="104">
        <v>35.270000000000003</v>
      </c>
      <c r="V38" s="104">
        <v>36.49</v>
      </c>
      <c r="W38" s="104">
        <v>36.729999999999997</v>
      </c>
      <c r="X38" s="104">
        <v>36.380000000000003</v>
      </c>
      <c r="Y38" s="104">
        <v>36.89</v>
      </c>
      <c r="Z38" s="104">
        <v>36.21</v>
      </c>
      <c r="AA38" s="104">
        <v>35.25</v>
      </c>
      <c r="AB38" s="104">
        <v>37.96</v>
      </c>
      <c r="AC38" s="104">
        <v>38.18</v>
      </c>
      <c r="AD38" s="104">
        <v>38.58</v>
      </c>
      <c r="AE38" s="104">
        <v>38.76</v>
      </c>
      <c r="AF38" s="104">
        <v>37.4</v>
      </c>
      <c r="AG38" s="104">
        <v>37.97</v>
      </c>
      <c r="AH38" s="104">
        <v>37.44</v>
      </c>
      <c r="AI38" s="104">
        <v>37.44</v>
      </c>
      <c r="AJ38" s="104">
        <v>36.700000000000003</v>
      </c>
      <c r="AK38" s="104">
        <v>36.21</v>
      </c>
      <c r="AL38" s="104">
        <v>35.74</v>
      </c>
      <c r="AM38" s="104">
        <v>38.6</v>
      </c>
      <c r="AN38" s="104">
        <v>41.62</v>
      </c>
      <c r="AO38" s="104">
        <v>41.75</v>
      </c>
      <c r="AP38" s="104">
        <v>38.18</v>
      </c>
      <c r="AQ38" s="104">
        <v>35.93</v>
      </c>
      <c r="AR38" s="104">
        <v>34.51</v>
      </c>
      <c r="AS38" s="104">
        <v>32.14</v>
      </c>
      <c r="AT38" s="104">
        <v>31.09</v>
      </c>
      <c r="AU38" s="104">
        <v>28.29</v>
      </c>
      <c r="AV38" s="104">
        <v>30.73</v>
      </c>
      <c r="AW38" s="104">
        <v>28.96</v>
      </c>
      <c r="AX38" s="104">
        <v>32.159999999999997</v>
      </c>
      <c r="AY38" s="105">
        <v>34.32</v>
      </c>
    </row>
    <row r="39" spans="2:51" x14ac:dyDescent="0.25">
      <c r="B39" s="187" t="s">
        <v>74</v>
      </c>
      <c r="C39" s="76" t="s">
        <v>3</v>
      </c>
      <c r="D39" s="103">
        <v>33.56</v>
      </c>
      <c r="E39" s="104">
        <v>32.28</v>
      </c>
      <c r="F39" s="104">
        <v>33.83</v>
      </c>
      <c r="G39" s="104">
        <v>32.049999999999997</v>
      </c>
      <c r="H39" s="104">
        <v>30.73</v>
      </c>
      <c r="I39" s="104">
        <v>29.22</v>
      </c>
      <c r="J39" s="104">
        <v>28.27</v>
      </c>
      <c r="K39" s="104">
        <v>27.89</v>
      </c>
      <c r="L39" s="104">
        <v>29.16</v>
      </c>
      <c r="M39" s="104">
        <v>29.08</v>
      </c>
      <c r="N39" s="104">
        <v>31.18</v>
      </c>
      <c r="O39" s="104">
        <v>34.43</v>
      </c>
      <c r="P39" s="104">
        <v>36.19</v>
      </c>
      <c r="Q39" s="104">
        <v>39.22</v>
      </c>
      <c r="R39" s="104">
        <v>36.520000000000003</v>
      </c>
      <c r="S39" s="104">
        <v>38.57</v>
      </c>
      <c r="T39" s="104">
        <v>39.58</v>
      </c>
      <c r="U39" s="104">
        <v>38.520000000000003</v>
      </c>
      <c r="V39" s="104">
        <v>39.93</v>
      </c>
      <c r="W39" s="104">
        <v>39.67</v>
      </c>
      <c r="X39" s="104">
        <v>39.21</v>
      </c>
      <c r="Y39" s="104">
        <v>38.840000000000003</v>
      </c>
      <c r="Z39" s="104">
        <v>38.51</v>
      </c>
      <c r="AA39" s="104">
        <v>38.33</v>
      </c>
      <c r="AB39" s="104">
        <v>38.81</v>
      </c>
      <c r="AC39" s="104">
        <v>37.47</v>
      </c>
      <c r="AD39" s="104">
        <v>37.22</v>
      </c>
      <c r="AE39" s="104">
        <v>37.9</v>
      </c>
      <c r="AF39" s="104">
        <v>38</v>
      </c>
      <c r="AG39" s="104">
        <v>37.39</v>
      </c>
      <c r="AH39" s="104">
        <v>36.659999999999997</v>
      </c>
      <c r="AI39" s="104">
        <v>37.53</v>
      </c>
      <c r="AJ39" s="104">
        <v>38.19</v>
      </c>
      <c r="AK39" s="104">
        <v>38.299999999999997</v>
      </c>
      <c r="AL39" s="104">
        <v>38.21</v>
      </c>
      <c r="AM39" s="104">
        <v>40.590000000000003</v>
      </c>
      <c r="AN39" s="104">
        <v>42.86</v>
      </c>
      <c r="AO39" s="104">
        <v>42.9</v>
      </c>
      <c r="AP39" s="104">
        <v>40.93</v>
      </c>
      <c r="AQ39" s="104">
        <v>39.85</v>
      </c>
      <c r="AR39" s="104">
        <v>38.85</v>
      </c>
      <c r="AS39" s="104">
        <v>35.94</v>
      </c>
      <c r="AT39" s="104">
        <v>35.21</v>
      </c>
      <c r="AU39" s="104">
        <v>32.840000000000003</v>
      </c>
      <c r="AV39" s="104">
        <v>35.82</v>
      </c>
      <c r="AW39" s="104">
        <v>33.53</v>
      </c>
      <c r="AX39" s="104">
        <v>35.81</v>
      </c>
      <c r="AY39" s="105">
        <v>34.979999999999997</v>
      </c>
    </row>
    <row r="40" spans="2:51" ht="15.75" thickBot="1" x14ac:dyDescent="0.3">
      <c r="B40" s="188" t="s">
        <v>74</v>
      </c>
      <c r="C40" s="90" t="s">
        <v>4</v>
      </c>
      <c r="D40" s="106">
        <v>25.05</v>
      </c>
      <c r="E40" s="107">
        <v>23.02</v>
      </c>
      <c r="F40" s="107">
        <v>25.84</v>
      </c>
      <c r="G40" s="107">
        <v>22.43</v>
      </c>
      <c r="H40" s="107">
        <v>20.079999999999998</v>
      </c>
      <c r="I40" s="107">
        <v>18.38</v>
      </c>
      <c r="J40" s="107">
        <v>17.149999999999999</v>
      </c>
      <c r="K40" s="107">
        <v>16.22</v>
      </c>
      <c r="L40" s="107">
        <v>16.739999999999998</v>
      </c>
      <c r="M40" s="107">
        <v>17.34</v>
      </c>
      <c r="N40" s="107">
        <v>19.72</v>
      </c>
      <c r="O40" s="107">
        <v>21.36</v>
      </c>
      <c r="P40" s="107">
        <v>24.98</v>
      </c>
      <c r="Q40" s="107">
        <v>29.2</v>
      </c>
      <c r="R40" s="107">
        <v>26.55</v>
      </c>
      <c r="S40" s="107">
        <v>29.39</v>
      </c>
      <c r="T40" s="107">
        <v>31.88</v>
      </c>
      <c r="U40" s="107">
        <v>32.24</v>
      </c>
      <c r="V40" s="107">
        <v>33.96</v>
      </c>
      <c r="W40" s="107">
        <v>33.46</v>
      </c>
      <c r="X40" s="107">
        <v>33.409999999999997</v>
      </c>
      <c r="Y40" s="107">
        <v>33.979999999999997</v>
      </c>
      <c r="Z40" s="107">
        <v>33.67</v>
      </c>
      <c r="AA40" s="107">
        <v>33.44</v>
      </c>
      <c r="AB40" s="107">
        <v>34.33</v>
      </c>
      <c r="AC40" s="107">
        <v>34.01</v>
      </c>
      <c r="AD40" s="107">
        <v>35.04</v>
      </c>
      <c r="AE40" s="107">
        <v>34.58</v>
      </c>
      <c r="AF40" s="107">
        <v>33.29</v>
      </c>
      <c r="AG40" s="107">
        <v>33.61</v>
      </c>
      <c r="AH40" s="107">
        <v>33.020000000000003</v>
      </c>
      <c r="AI40" s="107">
        <v>32.840000000000003</v>
      </c>
      <c r="AJ40" s="107">
        <v>32.18</v>
      </c>
      <c r="AK40" s="107">
        <v>31.77</v>
      </c>
      <c r="AL40" s="107">
        <v>31.18</v>
      </c>
      <c r="AM40" s="107">
        <v>34.5</v>
      </c>
      <c r="AN40" s="107">
        <v>37.840000000000003</v>
      </c>
      <c r="AO40" s="107">
        <v>38.08</v>
      </c>
      <c r="AP40" s="107">
        <v>34.03</v>
      </c>
      <c r="AQ40" s="107">
        <v>31.86</v>
      </c>
      <c r="AR40" s="107">
        <v>30.3</v>
      </c>
      <c r="AS40" s="107">
        <v>28.15</v>
      </c>
      <c r="AT40" s="107">
        <v>26.96</v>
      </c>
      <c r="AU40" s="107">
        <v>24.18</v>
      </c>
      <c r="AV40" s="107">
        <v>27.33</v>
      </c>
      <c r="AW40" s="107">
        <v>25.46</v>
      </c>
      <c r="AX40" s="107">
        <v>29.99</v>
      </c>
      <c r="AY40" s="108">
        <v>27.72</v>
      </c>
    </row>
  </sheetData>
  <sheetProtection password="AFDE" sheet="1" objects="1" scenarios="1" formatCells="0" formatColumns="0" formatRows="0"/>
  <mergeCells count="12">
    <mergeCell ref="M11:U12"/>
    <mergeCell ref="B16:B20"/>
    <mergeCell ref="B21:B25"/>
    <mergeCell ref="B26:B30"/>
    <mergeCell ref="B31:B35"/>
    <mergeCell ref="C12:F12"/>
    <mergeCell ref="C11:F11"/>
    <mergeCell ref="D6:F6"/>
    <mergeCell ref="D5:F5"/>
    <mergeCell ref="D7:F7"/>
    <mergeCell ref="B36:B40"/>
    <mergeCell ref="B15:C15"/>
  </mergeCells>
  <pageMargins left="0.70866141732283472" right="0.70866141732283472" top="0.74803149606299213" bottom="0.74803149606299213" header="0.31496062992125984" footer="0.31496062992125984"/>
  <pageSetup paperSize="9" scale="64" fitToWidth="3"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N109"/>
  <sheetViews>
    <sheetView showGridLines="0" zoomScale="83" zoomScaleNormal="83" zoomScaleSheetLayoutView="40" workbookViewId="0">
      <pane xSplit="17" ySplit="2" topLeftCell="R3" activePane="bottomRight" state="frozenSplit"/>
      <selection pane="topRight" activeCell="R1" sqref="R1"/>
      <selection pane="bottomLeft" activeCell="A3" sqref="A3"/>
      <selection pane="bottomRight" activeCell="I7" sqref="I7"/>
    </sheetView>
  </sheetViews>
  <sheetFormatPr defaultRowHeight="15" x14ac:dyDescent="0.25"/>
  <cols>
    <col min="1" max="1" width="1.7109375" style="2" customWidth="1"/>
    <col min="2" max="2" width="8.7109375" style="2" customWidth="1"/>
    <col min="3" max="3" width="1.28515625" style="27" customWidth="1"/>
    <col min="4" max="4" width="24" style="27" customWidth="1"/>
    <col min="5" max="5" width="8.7109375" style="27" customWidth="1"/>
    <col min="6" max="6" width="1.5703125" style="27" customWidth="1"/>
    <col min="7" max="7" width="1.7109375" style="27" customWidth="1"/>
    <col min="8" max="8" width="11.5703125" style="27" customWidth="1"/>
    <col min="9" max="9" width="11.7109375" style="27" customWidth="1"/>
    <col min="10" max="11" width="1.28515625" style="2" customWidth="1"/>
    <col min="12" max="12" width="12.42578125" style="49" customWidth="1"/>
    <col min="13" max="13" width="12.28515625" style="2" customWidth="1"/>
    <col min="14" max="14" width="12.42578125" style="2" customWidth="1"/>
    <col min="15" max="15" width="1.5703125" style="2" customWidth="1"/>
    <col min="16" max="16" width="1.7109375" style="27" customWidth="1"/>
    <col min="17" max="17" width="12.140625" style="2" customWidth="1"/>
    <col min="18" max="65" width="6.140625" style="2" customWidth="1"/>
    <col min="66" max="67" width="6.42578125" style="2" customWidth="1"/>
    <col min="68" max="16384" width="9.140625" style="2"/>
  </cols>
  <sheetData>
    <row r="1" spans="2:66" ht="6" customHeight="1" x14ac:dyDescent="0.25">
      <c r="G1" s="67"/>
      <c r="H1" s="67"/>
      <c r="I1" s="67"/>
      <c r="P1" s="67"/>
    </row>
    <row r="2" spans="2:66" ht="34.5" customHeight="1" x14ac:dyDescent="0.55000000000000004">
      <c r="B2" s="135" t="s">
        <v>12</v>
      </c>
      <c r="E2" s="124"/>
      <c r="F2" s="124"/>
      <c r="G2" s="198" t="s">
        <v>0</v>
      </c>
      <c r="H2" s="199"/>
      <c r="I2" s="198" t="s">
        <v>1</v>
      </c>
      <c r="J2" s="199"/>
      <c r="K2" s="198" t="s">
        <v>2</v>
      </c>
      <c r="L2" s="199"/>
      <c r="M2" s="171" t="s">
        <v>3</v>
      </c>
      <c r="N2" s="198" t="s">
        <v>4</v>
      </c>
      <c r="O2" s="199"/>
    </row>
    <row r="3" spans="2:66" ht="6" customHeight="1" x14ac:dyDescent="0.25">
      <c r="C3" s="67"/>
      <c r="D3" s="67"/>
      <c r="E3" s="67"/>
      <c r="F3" s="67"/>
      <c r="G3" s="67"/>
      <c r="H3" s="67"/>
      <c r="I3" s="67"/>
      <c r="P3" s="67"/>
    </row>
    <row r="4" spans="2:66" ht="6" customHeight="1" x14ac:dyDescent="0.25">
      <c r="Q4" s="27"/>
      <c r="R4" s="79"/>
      <c r="S4" s="79"/>
      <c r="T4" s="79"/>
      <c r="V4" s="79"/>
      <c r="W4" s="79"/>
      <c r="X4" s="79"/>
      <c r="Z4" s="79"/>
      <c r="AA4" s="79"/>
      <c r="AB4" s="79"/>
      <c r="AD4" s="79"/>
      <c r="AE4" s="79"/>
      <c r="AF4" s="79"/>
    </row>
    <row r="5" spans="2:66" ht="6" customHeight="1" x14ac:dyDescent="0.5">
      <c r="B5" s="195" t="s">
        <v>0</v>
      </c>
      <c r="C5" s="129"/>
      <c r="D5" s="133"/>
      <c r="E5" s="133"/>
      <c r="F5" s="131"/>
      <c r="G5" s="68"/>
      <c r="H5" s="125"/>
      <c r="I5" s="69"/>
      <c r="J5" s="38"/>
      <c r="K5" s="37"/>
      <c r="L5" s="36"/>
      <c r="M5" s="37"/>
      <c r="N5" s="37"/>
      <c r="O5" s="37"/>
      <c r="P5" s="126"/>
      <c r="Q5" s="127"/>
      <c r="R5" s="37"/>
      <c r="S5" s="37"/>
      <c r="T5" s="37"/>
      <c r="U5" s="128"/>
      <c r="V5" s="37"/>
      <c r="W5" s="37"/>
      <c r="X5" s="37"/>
      <c r="Y5" s="128"/>
      <c r="Z5" s="37"/>
      <c r="AA5" s="37"/>
      <c r="AB5" s="37"/>
      <c r="AC5" s="128"/>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8"/>
    </row>
    <row r="6" spans="2:66" ht="16.5" customHeight="1" x14ac:dyDescent="0.25">
      <c r="B6" s="196"/>
      <c r="C6" s="30"/>
      <c r="D6" s="41"/>
      <c r="E6" s="41"/>
      <c r="F6" s="132"/>
      <c r="G6" s="30"/>
      <c r="H6" s="70" t="s">
        <v>11</v>
      </c>
      <c r="I6" s="71"/>
      <c r="J6" s="80"/>
      <c r="K6" s="81"/>
      <c r="L6" s="2"/>
      <c r="O6" s="81"/>
      <c r="P6" s="75"/>
      <c r="Q6" s="74" t="s">
        <v>88</v>
      </c>
      <c r="R6" s="88">
        <v>1</v>
      </c>
      <c r="S6" s="88">
        <v>2</v>
      </c>
      <c r="T6" s="88">
        <v>3</v>
      </c>
      <c r="U6" s="88">
        <v>4</v>
      </c>
      <c r="V6" s="88">
        <v>5</v>
      </c>
      <c r="W6" s="88">
        <v>6</v>
      </c>
      <c r="X6" s="88">
        <v>7</v>
      </c>
      <c r="Y6" s="88">
        <v>8</v>
      </c>
      <c r="Z6" s="88">
        <v>9</v>
      </c>
      <c r="AA6" s="88">
        <v>10</v>
      </c>
      <c r="AB6" s="88">
        <v>11</v>
      </c>
      <c r="AC6" s="88">
        <v>12</v>
      </c>
      <c r="AD6" s="88">
        <v>13</v>
      </c>
      <c r="AE6" s="88">
        <v>14</v>
      </c>
      <c r="AF6" s="88">
        <v>15</v>
      </c>
      <c r="AG6" s="88">
        <v>16</v>
      </c>
      <c r="AH6" s="88">
        <v>17</v>
      </c>
      <c r="AI6" s="88">
        <v>18</v>
      </c>
      <c r="AJ6" s="88">
        <v>19</v>
      </c>
      <c r="AK6" s="88">
        <v>20</v>
      </c>
      <c r="AL6" s="88">
        <v>21</v>
      </c>
      <c r="AM6" s="88">
        <v>22</v>
      </c>
      <c r="AN6" s="88">
        <v>23</v>
      </c>
      <c r="AO6" s="88">
        <v>24</v>
      </c>
      <c r="AP6" s="88">
        <v>25</v>
      </c>
      <c r="AQ6" s="88">
        <v>26</v>
      </c>
      <c r="AR6" s="88">
        <v>27</v>
      </c>
      <c r="AS6" s="88">
        <v>28</v>
      </c>
      <c r="AT6" s="88">
        <v>29</v>
      </c>
      <c r="AU6" s="88">
        <v>30</v>
      </c>
      <c r="AV6" s="88">
        <v>31</v>
      </c>
      <c r="AW6" s="88">
        <v>32</v>
      </c>
      <c r="AX6" s="88">
        <v>33</v>
      </c>
      <c r="AY6" s="88">
        <v>34</v>
      </c>
      <c r="AZ6" s="88">
        <v>35</v>
      </c>
      <c r="BA6" s="88">
        <v>36</v>
      </c>
      <c r="BB6" s="88">
        <v>37</v>
      </c>
      <c r="BC6" s="88">
        <v>38</v>
      </c>
      <c r="BD6" s="88">
        <v>39</v>
      </c>
      <c r="BE6" s="88">
        <v>40</v>
      </c>
      <c r="BF6" s="88">
        <v>41</v>
      </c>
      <c r="BG6" s="88">
        <v>42</v>
      </c>
      <c r="BH6" s="88">
        <v>43</v>
      </c>
      <c r="BI6" s="88">
        <v>44</v>
      </c>
      <c r="BJ6" s="88">
        <v>45</v>
      </c>
      <c r="BK6" s="88">
        <v>46</v>
      </c>
      <c r="BL6" s="88">
        <v>47</v>
      </c>
      <c r="BM6" s="88">
        <v>48</v>
      </c>
      <c r="BN6" s="80"/>
    </row>
    <row r="7" spans="2:66" ht="18.75" x14ac:dyDescent="0.35">
      <c r="B7" s="196"/>
      <c r="C7" s="30"/>
      <c r="D7" s="41"/>
      <c r="E7" s="41"/>
      <c r="F7" s="132" t="s">
        <v>136</v>
      </c>
      <c r="G7" s="30"/>
      <c r="H7" s="83" t="s">
        <v>29</v>
      </c>
      <c r="I7" s="158"/>
      <c r="J7" s="80"/>
      <c r="K7" s="81"/>
      <c r="L7" s="82" t="s">
        <v>53</v>
      </c>
      <c r="M7" s="82" t="s">
        <v>102</v>
      </c>
      <c r="N7" s="82" t="s">
        <v>70</v>
      </c>
      <c r="O7" s="81"/>
      <c r="P7" s="30"/>
      <c r="Q7" s="83" t="s">
        <v>35</v>
      </c>
      <c r="R7" s="159"/>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1"/>
      <c r="BN7" s="80"/>
    </row>
    <row r="8" spans="2:66" ht="18.75" x14ac:dyDescent="0.35">
      <c r="B8" s="196"/>
      <c r="C8" s="30"/>
      <c r="D8" s="41"/>
      <c r="E8" s="41"/>
      <c r="F8" s="132"/>
      <c r="G8" s="30"/>
      <c r="H8" s="77"/>
      <c r="I8" s="77"/>
      <c r="J8" s="80"/>
      <c r="K8" s="81"/>
      <c r="L8" s="178">
        <f>ROUND(IF(SUM(R7:BM7)=0,1.05,MAX(N8,N8^2)),2)</f>
        <v>1.05</v>
      </c>
      <c r="M8" s="84">
        <f>ROUND(IF(SUM(R7:BM7)=0,NSW_RLWP,SUMPRODUCT(R7:BM7,NSW_PHH)/SUM(R8:BM8)),2)</f>
        <v>33.64</v>
      </c>
      <c r="N8" s="84">
        <f>ROUND(M8/NSW_RLWP,2)</f>
        <v>1</v>
      </c>
      <c r="O8" s="81"/>
      <c r="P8" s="30"/>
      <c r="Q8" s="83" t="s">
        <v>36</v>
      </c>
      <c r="R8" s="162"/>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4"/>
      <c r="BN8" s="80"/>
    </row>
    <row r="9" spans="2:66" ht="18.75" x14ac:dyDescent="0.35">
      <c r="B9" s="196"/>
      <c r="C9" s="30"/>
      <c r="D9" s="41"/>
      <c r="E9" s="41"/>
      <c r="F9" s="132" t="s">
        <v>5</v>
      </c>
      <c r="G9" s="30"/>
      <c r="H9" s="83" t="s">
        <v>30</v>
      </c>
      <c r="I9" s="158"/>
      <c r="J9" s="80"/>
      <c r="K9" s="81"/>
      <c r="L9" s="46"/>
      <c r="M9" s="85"/>
      <c r="N9" s="85"/>
      <c r="O9" s="81"/>
      <c r="P9" s="30"/>
      <c r="Q9" s="83" t="s">
        <v>39</v>
      </c>
      <c r="R9" s="162"/>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4"/>
      <c r="BN9" s="80"/>
    </row>
    <row r="10" spans="2:66" ht="18.75" x14ac:dyDescent="0.35">
      <c r="B10" s="196"/>
      <c r="C10" s="30"/>
      <c r="D10" s="41"/>
      <c r="E10" s="41"/>
      <c r="F10" s="132" t="s">
        <v>6</v>
      </c>
      <c r="G10" s="30"/>
      <c r="H10" s="83" t="s">
        <v>31</v>
      </c>
      <c r="I10" s="158"/>
      <c r="J10" s="80"/>
      <c r="K10" s="81"/>
      <c r="L10" s="82" t="s">
        <v>54</v>
      </c>
      <c r="M10" s="82" t="s">
        <v>103</v>
      </c>
      <c r="N10" s="82" t="s">
        <v>71</v>
      </c>
      <c r="O10" s="81"/>
      <c r="P10" s="30"/>
      <c r="Q10" s="83" t="s">
        <v>40</v>
      </c>
      <c r="R10" s="162"/>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4"/>
      <c r="BN10" s="80"/>
    </row>
    <row r="11" spans="2:66" ht="18.75" x14ac:dyDescent="0.35">
      <c r="B11" s="196"/>
      <c r="C11" s="30"/>
      <c r="D11" s="41"/>
      <c r="E11" s="41"/>
      <c r="F11" s="132" t="s">
        <v>7</v>
      </c>
      <c r="G11" s="30"/>
      <c r="H11" s="83" t="s">
        <v>56</v>
      </c>
      <c r="I11" s="158"/>
      <c r="J11" s="80"/>
      <c r="K11" s="81"/>
      <c r="L11" s="178">
        <f>ROUND(IF(SUM(R14:BM14)=0,0.95,MAX(N11,N11^2)),2)</f>
        <v>0.95</v>
      </c>
      <c r="M11" s="84">
        <f>ROUND(IF(SUM(R14:BM14)=0,NSW_RLWP,SUMPRODUCT(R14:BM14,NSW_PHH)/SUM(R15:BM15)),2)</f>
        <v>33.64</v>
      </c>
      <c r="N11" s="84">
        <f>ROUND(M11/NSW_RLWP,2)</f>
        <v>1</v>
      </c>
      <c r="O11" s="81"/>
      <c r="P11" s="30"/>
      <c r="Q11" s="83" t="s">
        <v>62</v>
      </c>
      <c r="R11" s="162"/>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4"/>
      <c r="BN11" s="80"/>
    </row>
    <row r="12" spans="2:66" ht="18.75" x14ac:dyDescent="0.35">
      <c r="B12" s="196"/>
      <c r="C12" s="30"/>
      <c r="D12" s="41"/>
      <c r="E12" s="41"/>
      <c r="F12" s="132"/>
      <c r="G12" s="30"/>
      <c r="H12" s="83" t="s">
        <v>57</v>
      </c>
      <c r="I12" s="158"/>
      <c r="J12" s="80"/>
      <c r="K12" s="81"/>
      <c r="L12" s="46"/>
      <c r="M12" s="85"/>
      <c r="N12" s="85"/>
      <c r="O12" s="81"/>
      <c r="P12" s="30"/>
      <c r="Q12" s="83" t="s">
        <v>63</v>
      </c>
      <c r="R12" s="162"/>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4"/>
      <c r="BN12" s="80"/>
    </row>
    <row r="13" spans="2:66" ht="18.75" x14ac:dyDescent="0.35">
      <c r="B13" s="196"/>
      <c r="C13" s="30"/>
      <c r="D13" s="41"/>
      <c r="E13" s="41"/>
      <c r="F13" s="132"/>
      <c r="G13" s="30"/>
      <c r="H13" s="83" t="s">
        <v>58</v>
      </c>
      <c r="I13" s="158"/>
      <c r="J13" s="80"/>
      <c r="K13" s="81"/>
      <c r="L13" s="82" t="s">
        <v>55</v>
      </c>
      <c r="M13" s="82" t="s">
        <v>104</v>
      </c>
      <c r="N13" s="82" t="s">
        <v>79</v>
      </c>
      <c r="O13" s="81"/>
      <c r="P13" s="30"/>
      <c r="Q13" s="83" t="s">
        <v>64</v>
      </c>
      <c r="R13" s="162"/>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4"/>
      <c r="BN13" s="80"/>
    </row>
    <row r="14" spans="2:66" ht="18.75" x14ac:dyDescent="0.35">
      <c r="B14" s="196"/>
      <c r="C14" s="30"/>
      <c r="D14" s="41"/>
      <c r="E14" s="41"/>
      <c r="F14" s="132" t="s">
        <v>137</v>
      </c>
      <c r="G14" s="30"/>
      <c r="H14" s="83" t="s">
        <v>32</v>
      </c>
      <c r="I14" s="158"/>
      <c r="J14" s="80"/>
      <c r="K14" s="81"/>
      <c r="L14" s="178">
        <f>ROUND(MAX(N14,N14^2),2)</f>
        <v>1</v>
      </c>
      <c r="M14" s="84">
        <f>ROUND(IF(SUM(R21:BM21)=0,NSW_RLWP,SUMPRODUCT(R21:BM21,NSW_PHH)/SUM(R21:BM21)),2)</f>
        <v>33.64</v>
      </c>
      <c r="N14" s="84">
        <f>ROUND(M14/NSW_RLWP,2)</f>
        <v>1</v>
      </c>
      <c r="O14" s="81"/>
      <c r="P14" s="30"/>
      <c r="Q14" s="83" t="s">
        <v>37</v>
      </c>
      <c r="R14" s="162"/>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4"/>
      <c r="BN14" s="80"/>
    </row>
    <row r="15" spans="2:66" ht="18.75" x14ac:dyDescent="0.35">
      <c r="B15" s="196"/>
      <c r="C15" s="30"/>
      <c r="D15" s="41"/>
      <c r="E15" s="41"/>
      <c r="F15" s="132"/>
      <c r="G15" s="30"/>
      <c r="H15" s="77"/>
      <c r="I15" s="77"/>
      <c r="J15" s="80"/>
      <c r="K15" s="81"/>
      <c r="L15" s="46"/>
      <c r="M15" s="85"/>
      <c r="N15" s="85"/>
      <c r="O15" s="81"/>
      <c r="P15" s="30"/>
      <c r="Q15" s="83" t="s">
        <v>38</v>
      </c>
      <c r="R15" s="162"/>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4"/>
      <c r="BN15" s="80"/>
    </row>
    <row r="16" spans="2:66" ht="18.75" x14ac:dyDescent="0.35">
      <c r="B16" s="196"/>
      <c r="C16" s="30"/>
      <c r="D16" s="41"/>
      <c r="E16" s="41"/>
      <c r="F16" s="132" t="s">
        <v>8</v>
      </c>
      <c r="G16" s="30"/>
      <c r="H16" s="83" t="s">
        <v>33</v>
      </c>
      <c r="I16" s="158"/>
      <c r="J16" s="80"/>
      <c r="K16" s="81"/>
      <c r="L16" s="82" t="s">
        <v>85</v>
      </c>
      <c r="M16" s="82" t="s">
        <v>105</v>
      </c>
      <c r="N16" s="82" t="s">
        <v>83</v>
      </c>
      <c r="O16" s="81"/>
      <c r="P16" s="30"/>
      <c r="Q16" s="83" t="s">
        <v>41</v>
      </c>
      <c r="R16" s="162"/>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4"/>
      <c r="BN16" s="80"/>
    </row>
    <row r="17" spans="2:66" ht="18.75" x14ac:dyDescent="0.35">
      <c r="B17" s="196"/>
      <c r="C17" s="30"/>
      <c r="D17" s="41"/>
      <c r="E17" s="41"/>
      <c r="F17" s="132" t="s">
        <v>9</v>
      </c>
      <c r="G17" s="30"/>
      <c r="H17" s="83" t="s">
        <v>34</v>
      </c>
      <c r="I17" s="158"/>
      <c r="J17" s="80"/>
      <c r="K17" s="81"/>
      <c r="L17" s="178">
        <f>ROUND(MAX(N17,N17^2),2)</f>
        <v>1</v>
      </c>
      <c r="M17" s="84">
        <f>ROUND(IF(SUM(R22:BM22)=0,NSW_RLWPC100,SUMPRODUCT(R22:BM22,NSW_PHHC100)/SUM(R22:BM22)),2)</f>
        <v>29.94</v>
      </c>
      <c r="N17" s="84">
        <f>ROUND(M17/NSW_RLWPC100,2)</f>
        <v>1</v>
      </c>
      <c r="O17" s="81"/>
      <c r="P17" s="30"/>
      <c r="Q17" s="83" t="s">
        <v>42</v>
      </c>
      <c r="R17" s="162"/>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4"/>
      <c r="BN17" s="80"/>
    </row>
    <row r="18" spans="2:66" ht="18.75" x14ac:dyDescent="0.35">
      <c r="B18" s="196"/>
      <c r="C18" s="30"/>
      <c r="D18" s="41"/>
      <c r="E18" s="41"/>
      <c r="F18" s="132" t="s">
        <v>10</v>
      </c>
      <c r="G18" s="30"/>
      <c r="H18" s="83" t="s">
        <v>59</v>
      </c>
      <c r="I18" s="158"/>
      <c r="J18" s="80"/>
      <c r="K18" s="81"/>
      <c r="L18" s="2"/>
      <c r="O18" s="81"/>
      <c r="P18" s="30"/>
      <c r="Q18" s="83" t="s">
        <v>65</v>
      </c>
      <c r="R18" s="162"/>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4"/>
      <c r="BN18" s="80"/>
    </row>
    <row r="19" spans="2:66" ht="18.75" x14ac:dyDescent="0.35">
      <c r="B19" s="196"/>
      <c r="C19" s="30"/>
      <c r="D19" s="41"/>
      <c r="E19" s="41"/>
      <c r="F19" s="132"/>
      <c r="G19" s="30"/>
      <c r="H19" s="83" t="s">
        <v>60</v>
      </c>
      <c r="I19" s="158"/>
      <c r="J19" s="80"/>
      <c r="K19" s="81"/>
      <c r="L19" s="82" t="s">
        <v>82</v>
      </c>
      <c r="M19" s="82" t="s">
        <v>106</v>
      </c>
      <c r="N19" s="82" t="s">
        <v>84</v>
      </c>
      <c r="O19" s="81"/>
      <c r="P19" s="30"/>
      <c r="Q19" s="83" t="s">
        <v>66</v>
      </c>
      <c r="R19" s="162"/>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4"/>
      <c r="BN19" s="80"/>
    </row>
    <row r="20" spans="2:66" ht="18.75" x14ac:dyDescent="0.35">
      <c r="B20" s="196"/>
      <c r="C20" s="30"/>
      <c r="D20" s="41"/>
      <c r="E20" s="41"/>
      <c r="F20" s="132"/>
      <c r="G20" s="30"/>
      <c r="H20" s="83" t="s">
        <v>61</v>
      </c>
      <c r="I20" s="158"/>
      <c r="J20" s="80"/>
      <c r="K20" s="81"/>
      <c r="L20" s="178">
        <f>ROUND(MAX(N20,N20^2),2)</f>
        <v>1</v>
      </c>
      <c r="M20" s="84">
        <f>ROUND(IF(SUM(R23:BM23)=0,NSW_RLWPC200,SUMPRODUCT(R23:BM23,NSW_PHHC200)/SUM(R23:BM23)),2)</f>
        <v>30.43</v>
      </c>
      <c r="N20" s="84">
        <f>ROUND(M20/NSW_RLWPC200,2)</f>
        <v>1</v>
      </c>
      <c r="O20" s="81"/>
      <c r="P20" s="30"/>
      <c r="Q20" s="83" t="s">
        <v>67</v>
      </c>
      <c r="R20" s="162"/>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4"/>
      <c r="BN20" s="80"/>
    </row>
    <row r="21" spans="2:66" x14ac:dyDescent="0.25">
      <c r="B21" s="196"/>
      <c r="C21" s="30"/>
      <c r="D21" s="41"/>
      <c r="E21" s="41"/>
      <c r="F21" s="132"/>
      <c r="G21" s="30"/>
      <c r="H21" s="41"/>
      <c r="I21" s="41"/>
      <c r="J21" s="80"/>
      <c r="K21" s="81"/>
      <c r="L21" s="2"/>
      <c r="O21" s="81"/>
      <c r="P21" s="30"/>
      <c r="Q21" s="113" t="s">
        <v>68</v>
      </c>
      <c r="R21" s="114">
        <f t="shared" ref="R21:BM21" si="0">SUM(R9:R10)-SUM(R16:R17)</f>
        <v>0</v>
      </c>
      <c r="S21" s="115">
        <f t="shared" si="0"/>
        <v>0</v>
      </c>
      <c r="T21" s="115">
        <f t="shared" si="0"/>
        <v>0</v>
      </c>
      <c r="U21" s="115">
        <f t="shared" si="0"/>
        <v>0</v>
      </c>
      <c r="V21" s="115">
        <f t="shared" si="0"/>
        <v>0</v>
      </c>
      <c r="W21" s="115">
        <f t="shared" si="0"/>
        <v>0</v>
      </c>
      <c r="X21" s="115">
        <f t="shared" si="0"/>
        <v>0</v>
      </c>
      <c r="Y21" s="115">
        <f t="shared" si="0"/>
        <v>0</v>
      </c>
      <c r="Z21" s="115">
        <f t="shared" si="0"/>
        <v>0</v>
      </c>
      <c r="AA21" s="115">
        <f t="shared" si="0"/>
        <v>0</v>
      </c>
      <c r="AB21" s="115">
        <f t="shared" si="0"/>
        <v>0</v>
      </c>
      <c r="AC21" s="115">
        <f t="shared" si="0"/>
        <v>0</v>
      </c>
      <c r="AD21" s="115">
        <f t="shared" si="0"/>
        <v>0</v>
      </c>
      <c r="AE21" s="115">
        <f t="shared" si="0"/>
        <v>0</v>
      </c>
      <c r="AF21" s="115">
        <f t="shared" si="0"/>
        <v>0</v>
      </c>
      <c r="AG21" s="115">
        <f t="shared" si="0"/>
        <v>0</v>
      </c>
      <c r="AH21" s="115">
        <f t="shared" si="0"/>
        <v>0</v>
      </c>
      <c r="AI21" s="115">
        <f t="shared" si="0"/>
        <v>0</v>
      </c>
      <c r="AJ21" s="115">
        <f t="shared" si="0"/>
        <v>0</v>
      </c>
      <c r="AK21" s="115">
        <f t="shared" si="0"/>
        <v>0</v>
      </c>
      <c r="AL21" s="115">
        <f t="shared" si="0"/>
        <v>0</v>
      </c>
      <c r="AM21" s="115">
        <f t="shared" si="0"/>
        <v>0</v>
      </c>
      <c r="AN21" s="115">
        <f t="shared" si="0"/>
        <v>0</v>
      </c>
      <c r="AO21" s="115">
        <f t="shared" si="0"/>
        <v>0</v>
      </c>
      <c r="AP21" s="115">
        <f t="shared" si="0"/>
        <v>0</v>
      </c>
      <c r="AQ21" s="115">
        <f t="shared" si="0"/>
        <v>0</v>
      </c>
      <c r="AR21" s="115">
        <f t="shared" si="0"/>
        <v>0</v>
      </c>
      <c r="AS21" s="115">
        <f t="shared" si="0"/>
        <v>0</v>
      </c>
      <c r="AT21" s="115">
        <f t="shared" si="0"/>
        <v>0</v>
      </c>
      <c r="AU21" s="115">
        <f t="shared" si="0"/>
        <v>0</v>
      </c>
      <c r="AV21" s="115">
        <f t="shared" si="0"/>
        <v>0</v>
      </c>
      <c r="AW21" s="115">
        <f t="shared" si="0"/>
        <v>0</v>
      </c>
      <c r="AX21" s="115">
        <f t="shared" si="0"/>
        <v>0</v>
      </c>
      <c r="AY21" s="115">
        <f t="shared" si="0"/>
        <v>0</v>
      </c>
      <c r="AZ21" s="115">
        <f t="shared" si="0"/>
        <v>0</v>
      </c>
      <c r="BA21" s="115">
        <f t="shared" si="0"/>
        <v>0</v>
      </c>
      <c r="BB21" s="115">
        <f t="shared" si="0"/>
        <v>0</v>
      </c>
      <c r="BC21" s="115">
        <f t="shared" si="0"/>
        <v>0</v>
      </c>
      <c r="BD21" s="115">
        <f t="shared" si="0"/>
        <v>0</v>
      </c>
      <c r="BE21" s="115">
        <f t="shared" si="0"/>
        <v>0</v>
      </c>
      <c r="BF21" s="115">
        <f t="shared" si="0"/>
        <v>0</v>
      </c>
      <c r="BG21" s="115">
        <f t="shared" si="0"/>
        <v>0</v>
      </c>
      <c r="BH21" s="115">
        <f t="shared" si="0"/>
        <v>0</v>
      </c>
      <c r="BI21" s="115">
        <f t="shared" si="0"/>
        <v>0</v>
      </c>
      <c r="BJ21" s="115">
        <f t="shared" si="0"/>
        <v>0</v>
      </c>
      <c r="BK21" s="115">
        <f t="shared" si="0"/>
        <v>0</v>
      </c>
      <c r="BL21" s="115">
        <f t="shared" si="0"/>
        <v>0</v>
      </c>
      <c r="BM21" s="116">
        <f t="shared" si="0"/>
        <v>0</v>
      </c>
      <c r="BN21" s="80"/>
    </row>
    <row r="22" spans="2:66" ht="18.75" x14ac:dyDescent="0.35">
      <c r="B22" s="196"/>
      <c r="C22" s="30"/>
      <c r="D22" s="113" t="s">
        <v>143</v>
      </c>
      <c r="E22" s="157">
        <v>0</v>
      </c>
      <c r="F22" s="132"/>
      <c r="G22" s="30"/>
      <c r="H22" s="83" t="s">
        <v>43</v>
      </c>
      <c r="I22" s="158">
        <v>0</v>
      </c>
      <c r="J22" s="80"/>
      <c r="K22" s="81"/>
      <c r="L22" s="82" t="s">
        <v>81</v>
      </c>
      <c r="M22" s="82" t="s">
        <v>107</v>
      </c>
      <c r="N22" s="82" t="s">
        <v>80</v>
      </c>
      <c r="O22" s="81"/>
      <c r="P22" s="30"/>
      <c r="Q22" s="113" t="s">
        <v>69</v>
      </c>
      <c r="R22" s="114">
        <f>R11-R18</f>
        <v>0</v>
      </c>
      <c r="S22" s="115">
        <f t="shared" ref="S22:BM22" si="1">S11-S18</f>
        <v>0</v>
      </c>
      <c r="T22" s="115">
        <f t="shared" si="1"/>
        <v>0</v>
      </c>
      <c r="U22" s="115">
        <f t="shared" si="1"/>
        <v>0</v>
      </c>
      <c r="V22" s="115">
        <f t="shared" si="1"/>
        <v>0</v>
      </c>
      <c r="W22" s="115">
        <f t="shared" si="1"/>
        <v>0</v>
      </c>
      <c r="X22" s="115">
        <f t="shared" si="1"/>
        <v>0</v>
      </c>
      <c r="Y22" s="115">
        <f t="shared" si="1"/>
        <v>0</v>
      </c>
      <c r="Z22" s="115">
        <f t="shared" si="1"/>
        <v>0</v>
      </c>
      <c r="AA22" s="115">
        <f t="shared" si="1"/>
        <v>0</v>
      </c>
      <c r="AB22" s="115">
        <f t="shared" si="1"/>
        <v>0</v>
      </c>
      <c r="AC22" s="115">
        <f t="shared" si="1"/>
        <v>0</v>
      </c>
      <c r="AD22" s="115">
        <f t="shared" si="1"/>
        <v>0</v>
      </c>
      <c r="AE22" s="115">
        <f t="shared" si="1"/>
        <v>0</v>
      </c>
      <c r="AF22" s="115">
        <f t="shared" si="1"/>
        <v>0</v>
      </c>
      <c r="AG22" s="115">
        <f t="shared" si="1"/>
        <v>0</v>
      </c>
      <c r="AH22" s="115">
        <f t="shared" si="1"/>
        <v>0</v>
      </c>
      <c r="AI22" s="115">
        <f t="shared" si="1"/>
        <v>0</v>
      </c>
      <c r="AJ22" s="115">
        <f t="shared" si="1"/>
        <v>0</v>
      </c>
      <c r="AK22" s="115">
        <f t="shared" si="1"/>
        <v>0</v>
      </c>
      <c r="AL22" s="115">
        <f t="shared" si="1"/>
        <v>0</v>
      </c>
      <c r="AM22" s="115">
        <f t="shared" si="1"/>
        <v>0</v>
      </c>
      <c r="AN22" s="115">
        <f t="shared" si="1"/>
        <v>0</v>
      </c>
      <c r="AO22" s="115">
        <f t="shared" si="1"/>
        <v>0</v>
      </c>
      <c r="AP22" s="115">
        <f t="shared" si="1"/>
        <v>0</v>
      </c>
      <c r="AQ22" s="115">
        <f t="shared" si="1"/>
        <v>0</v>
      </c>
      <c r="AR22" s="115">
        <f t="shared" si="1"/>
        <v>0</v>
      </c>
      <c r="AS22" s="115">
        <f t="shared" si="1"/>
        <v>0</v>
      </c>
      <c r="AT22" s="115">
        <f t="shared" si="1"/>
        <v>0</v>
      </c>
      <c r="AU22" s="115">
        <f t="shared" si="1"/>
        <v>0</v>
      </c>
      <c r="AV22" s="115">
        <f t="shared" si="1"/>
        <v>0</v>
      </c>
      <c r="AW22" s="115">
        <f t="shared" si="1"/>
        <v>0</v>
      </c>
      <c r="AX22" s="115">
        <f t="shared" si="1"/>
        <v>0</v>
      </c>
      <c r="AY22" s="115">
        <f t="shared" si="1"/>
        <v>0</v>
      </c>
      <c r="AZ22" s="115">
        <f t="shared" si="1"/>
        <v>0</v>
      </c>
      <c r="BA22" s="115">
        <f t="shared" si="1"/>
        <v>0</v>
      </c>
      <c r="BB22" s="115">
        <f t="shared" si="1"/>
        <v>0</v>
      </c>
      <c r="BC22" s="115">
        <f t="shared" si="1"/>
        <v>0</v>
      </c>
      <c r="BD22" s="115">
        <f t="shared" si="1"/>
        <v>0</v>
      </c>
      <c r="BE22" s="115">
        <f t="shared" si="1"/>
        <v>0</v>
      </c>
      <c r="BF22" s="115">
        <f t="shared" si="1"/>
        <v>0</v>
      </c>
      <c r="BG22" s="115">
        <f t="shared" si="1"/>
        <v>0</v>
      </c>
      <c r="BH22" s="115">
        <f t="shared" si="1"/>
        <v>0</v>
      </c>
      <c r="BI22" s="115">
        <f t="shared" si="1"/>
        <v>0</v>
      </c>
      <c r="BJ22" s="115">
        <f t="shared" si="1"/>
        <v>0</v>
      </c>
      <c r="BK22" s="115">
        <f t="shared" si="1"/>
        <v>0</v>
      </c>
      <c r="BL22" s="115">
        <f t="shared" si="1"/>
        <v>0</v>
      </c>
      <c r="BM22" s="116">
        <f t="shared" si="1"/>
        <v>0</v>
      </c>
      <c r="BN22" s="80"/>
    </row>
    <row r="23" spans="2:66" ht="18.75" x14ac:dyDescent="0.35">
      <c r="B23" s="196"/>
      <c r="C23" s="30"/>
      <c r="D23" s="113" t="s">
        <v>144</v>
      </c>
      <c r="E23" s="157">
        <v>0</v>
      </c>
      <c r="F23" s="132"/>
      <c r="G23" s="30"/>
      <c r="H23" s="83" t="s">
        <v>44</v>
      </c>
      <c r="I23" s="158">
        <v>0</v>
      </c>
      <c r="J23" s="80"/>
      <c r="K23" s="81"/>
      <c r="L23" s="178">
        <f>ROUND(MAX(N23,N23^2),2)</f>
        <v>1</v>
      </c>
      <c r="M23" s="84">
        <f>ROUND(IF(SUM(R24:BM24)=0,NSW_RLWPC300,SUMPRODUCT(R24:BM24,NSW_PHHC300)/SUM(R24:BM24)),2)</f>
        <v>30.69</v>
      </c>
      <c r="N23" s="84">
        <f>ROUND(M23/NSW_RLWPC300,2)</f>
        <v>1</v>
      </c>
      <c r="O23" s="81"/>
      <c r="P23" s="30"/>
      <c r="Q23" s="113" t="s">
        <v>86</v>
      </c>
      <c r="R23" s="114">
        <f t="shared" ref="R23:BM23" si="2">R12-R19</f>
        <v>0</v>
      </c>
      <c r="S23" s="115">
        <f t="shared" si="2"/>
        <v>0</v>
      </c>
      <c r="T23" s="115">
        <f t="shared" si="2"/>
        <v>0</v>
      </c>
      <c r="U23" s="115">
        <f t="shared" si="2"/>
        <v>0</v>
      </c>
      <c r="V23" s="115">
        <f t="shared" si="2"/>
        <v>0</v>
      </c>
      <c r="W23" s="115">
        <f t="shared" si="2"/>
        <v>0</v>
      </c>
      <c r="X23" s="115">
        <f t="shared" si="2"/>
        <v>0</v>
      </c>
      <c r="Y23" s="115">
        <f t="shared" si="2"/>
        <v>0</v>
      </c>
      <c r="Z23" s="115">
        <f t="shared" si="2"/>
        <v>0</v>
      </c>
      <c r="AA23" s="115">
        <f t="shared" si="2"/>
        <v>0</v>
      </c>
      <c r="AB23" s="115">
        <f t="shared" si="2"/>
        <v>0</v>
      </c>
      <c r="AC23" s="115">
        <f t="shared" si="2"/>
        <v>0</v>
      </c>
      <c r="AD23" s="115">
        <f t="shared" si="2"/>
        <v>0</v>
      </c>
      <c r="AE23" s="115">
        <f t="shared" si="2"/>
        <v>0</v>
      </c>
      <c r="AF23" s="115">
        <f t="shared" si="2"/>
        <v>0</v>
      </c>
      <c r="AG23" s="115">
        <f t="shared" si="2"/>
        <v>0</v>
      </c>
      <c r="AH23" s="115">
        <f t="shared" si="2"/>
        <v>0</v>
      </c>
      <c r="AI23" s="115">
        <f t="shared" si="2"/>
        <v>0</v>
      </c>
      <c r="AJ23" s="115">
        <f t="shared" si="2"/>
        <v>0</v>
      </c>
      <c r="AK23" s="115">
        <f t="shared" si="2"/>
        <v>0</v>
      </c>
      <c r="AL23" s="115">
        <f t="shared" si="2"/>
        <v>0</v>
      </c>
      <c r="AM23" s="115">
        <f t="shared" si="2"/>
        <v>0</v>
      </c>
      <c r="AN23" s="115">
        <f t="shared" si="2"/>
        <v>0</v>
      </c>
      <c r="AO23" s="115">
        <f t="shared" si="2"/>
        <v>0</v>
      </c>
      <c r="AP23" s="115">
        <f t="shared" si="2"/>
        <v>0</v>
      </c>
      <c r="AQ23" s="115">
        <f t="shared" si="2"/>
        <v>0</v>
      </c>
      <c r="AR23" s="115">
        <f t="shared" si="2"/>
        <v>0</v>
      </c>
      <c r="AS23" s="115">
        <f t="shared" si="2"/>
        <v>0</v>
      </c>
      <c r="AT23" s="115">
        <f t="shared" si="2"/>
        <v>0</v>
      </c>
      <c r="AU23" s="115">
        <f t="shared" si="2"/>
        <v>0</v>
      </c>
      <c r="AV23" s="115">
        <f t="shared" si="2"/>
        <v>0</v>
      </c>
      <c r="AW23" s="115">
        <f t="shared" si="2"/>
        <v>0</v>
      </c>
      <c r="AX23" s="115">
        <f t="shared" si="2"/>
        <v>0</v>
      </c>
      <c r="AY23" s="115">
        <f t="shared" si="2"/>
        <v>0</v>
      </c>
      <c r="AZ23" s="115">
        <f t="shared" si="2"/>
        <v>0</v>
      </c>
      <c r="BA23" s="115">
        <f t="shared" si="2"/>
        <v>0</v>
      </c>
      <c r="BB23" s="115">
        <f t="shared" si="2"/>
        <v>0</v>
      </c>
      <c r="BC23" s="115">
        <f t="shared" si="2"/>
        <v>0</v>
      </c>
      <c r="BD23" s="115">
        <f t="shared" si="2"/>
        <v>0</v>
      </c>
      <c r="BE23" s="115">
        <f t="shared" si="2"/>
        <v>0</v>
      </c>
      <c r="BF23" s="115">
        <f t="shared" si="2"/>
        <v>0</v>
      </c>
      <c r="BG23" s="115">
        <f t="shared" si="2"/>
        <v>0</v>
      </c>
      <c r="BH23" s="115">
        <f t="shared" si="2"/>
        <v>0</v>
      </c>
      <c r="BI23" s="115">
        <f t="shared" si="2"/>
        <v>0</v>
      </c>
      <c r="BJ23" s="115">
        <f t="shared" si="2"/>
        <v>0</v>
      </c>
      <c r="BK23" s="115">
        <f t="shared" si="2"/>
        <v>0</v>
      </c>
      <c r="BL23" s="115">
        <f t="shared" si="2"/>
        <v>0</v>
      </c>
      <c r="BM23" s="116">
        <f t="shared" si="2"/>
        <v>0</v>
      </c>
      <c r="BN23" s="80"/>
    </row>
    <row r="24" spans="2:66" x14ac:dyDescent="0.25">
      <c r="B24" s="196"/>
      <c r="C24" s="30"/>
      <c r="D24" s="41"/>
      <c r="E24" s="41"/>
      <c r="F24" s="132"/>
      <c r="G24" s="30"/>
      <c r="H24" s="41"/>
      <c r="I24" s="41"/>
      <c r="J24" s="80"/>
      <c r="K24" s="81"/>
      <c r="L24" s="2"/>
      <c r="O24" s="81"/>
      <c r="P24" s="30"/>
      <c r="Q24" s="113" t="s">
        <v>87</v>
      </c>
      <c r="R24" s="117">
        <f>R13-R20</f>
        <v>0</v>
      </c>
      <c r="S24" s="118">
        <f t="shared" ref="S24:BM24" si="3">S13-S20</f>
        <v>0</v>
      </c>
      <c r="T24" s="118">
        <f t="shared" si="3"/>
        <v>0</v>
      </c>
      <c r="U24" s="118">
        <f t="shared" si="3"/>
        <v>0</v>
      </c>
      <c r="V24" s="118">
        <f t="shared" si="3"/>
        <v>0</v>
      </c>
      <c r="W24" s="118">
        <f t="shared" si="3"/>
        <v>0</v>
      </c>
      <c r="X24" s="118">
        <f t="shared" si="3"/>
        <v>0</v>
      </c>
      <c r="Y24" s="118">
        <f t="shared" si="3"/>
        <v>0</v>
      </c>
      <c r="Z24" s="118">
        <f t="shared" si="3"/>
        <v>0</v>
      </c>
      <c r="AA24" s="118">
        <f t="shared" si="3"/>
        <v>0</v>
      </c>
      <c r="AB24" s="118">
        <f t="shared" si="3"/>
        <v>0</v>
      </c>
      <c r="AC24" s="118">
        <f t="shared" si="3"/>
        <v>0</v>
      </c>
      <c r="AD24" s="118">
        <f t="shared" si="3"/>
        <v>0</v>
      </c>
      <c r="AE24" s="118">
        <f t="shared" si="3"/>
        <v>0</v>
      </c>
      <c r="AF24" s="118">
        <f t="shared" si="3"/>
        <v>0</v>
      </c>
      <c r="AG24" s="118">
        <f t="shared" si="3"/>
        <v>0</v>
      </c>
      <c r="AH24" s="118">
        <f t="shared" si="3"/>
        <v>0</v>
      </c>
      <c r="AI24" s="118">
        <f t="shared" si="3"/>
        <v>0</v>
      </c>
      <c r="AJ24" s="118">
        <f t="shared" si="3"/>
        <v>0</v>
      </c>
      <c r="AK24" s="118">
        <f t="shared" si="3"/>
        <v>0</v>
      </c>
      <c r="AL24" s="118">
        <f t="shared" si="3"/>
        <v>0</v>
      </c>
      <c r="AM24" s="118">
        <f t="shared" si="3"/>
        <v>0</v>
      </c>
      <c r="AN24" s="118">
        <f t="shared" si="3"/>
        <v>0</v>
      </c>
      <c r="AO24" s="118">
        <f t="shared" si="3"/>
        <v>0</v>
      </c>
      <c r="AP24" s="118">
        <f t="shared" si="3"/>
        <v>0</v>
      </c>
      <c r="AQ24" s="118">
        <f t="shared" si="3"/>
        <v>0</v>
      </c>
      <c r="AR24" s="118">
        <f t="shared" si="3"/>
        <v>0</v>
      </c>
      <c r="AS24" s="118">
        <f t="shared" si="3"/>
        <v>0</v>
      </c>
      <c r="AT24" s="118">
        <f t="shared" si="3"/>
        <v>0</v>
      </c>
      <c r="AU24" s="118">
        <f t="shared" si="3"/>
        <v>0</v>
      </c>
      <c r="AV24" s="118">
        <f t="shared" si="3"/>
        <v>0</v>
      </c>
      <c r="AW24" s="118">
        <f t="shared" si="3"/>
        <v>0</v>
      </c>
      <c r="AX24" s="118">
        <f t="shared" si="3"/>
        <v>0</v>
      </c>
      <c r="AY24" s="118">
        <f t="shared" si="3"/>
        <v>0</v>
      </c>
      <c r="AZ24" s="118">
        <f t="shared" si="3"/>
        <v>0</v>
      </c>
      <c r="BA24" s="118">
        <f t="shared" si="3"/>
        <v>0</v>
      </c>
      <c r="BB24" s="118">
        <f t="shared" si="3"/>
        <v>0</v>
      </c>
      <c r="BC24" s="118">
        <f t="shared" si="3"/>
        <v>0</v>
      </c>
      <c r="BD24" s="118">
        <f t="shared" si="3"/>
        <v>0</v>
      </c>
      <c r="BE24" s="118">
        <f t="shared" si="3"/>
        <v>0</v>
      </c>
      <c r="BF24" s="118">
        <f t="shared" si="3"/>
        <v>0</v>
      </c>
      <c r="BG24" s="118">
        <f t="shared" si="3"/>
        <v>0</v>
      </c>
      <c r="BH24" s="118">
        <f t="shared" si="3"/>
        <v>0</v>
      </c>
      <c r="BI24" s="118">
        <f t="shared" si="3"/>
        <v>0</v>
      </c>
      <c r="BJ24" s="118">
        <f t="shared" si="3"/>
        <v>0</v>
      </c>
      <c r="BK24" s="118">
        <f t="shared" si="3"/>
        <v>0</v>
      </c>
      <c r="BL24" s="118">
        <f t="shared" si="3"/>
        <v>0</v>
      </c>
      <c r="BM24" s="119">
        <f t="shared" si="3"/>
        <v>0</v>
      </c>
      <c r="BN24" s="80"/>
    </row>
    <row r="25" spans="2:66" ht="5.25" customHeight="1" x14ac:dyDescent="0.25">
      <c r="B25" s="197"/>
      <c r="C25" s="130"/>
      <c r="D25" s="55"/>
      <c r="E25" s="55"/>
      <c r="F25" s="78"/>
      <c r="G25" s="72"/>
      <c r="H25" s="73"/>
      <c r="I25" s="73"/>
      <c r="J25" s="87"/>
      <c r="K25" s="86"/>
      <c r="L25" s="121"/>
      <c r="M25" s="86"/>
      <c r="N25" s="86"/>
      <c r="O25" s="86"/>
      <c r="P25" s="72"/>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7"/>
    </row>
    <row r="26" spans="2:66" ht="5.25" customHeight="1" x14ac:dyDescent="0.5">
      <c r="B26" s="195" t="s">
        <v>1</v>
      </c>
      <c r="C26" s="129"/>
      <c r="D26" s="133"/>
      <c r="E26" s="133"/>
      <c r="F26" s="131"/>
      <c r="G26" s="68"/>
      <c r="H26" s="125"/>
      <c r="I26" s="69"/>
      <c r="J26" s="38"/>
      <c r="K26" s="37"/>
      <c r="L26" s="36"/>
      <c r="M26" s="37"/>
      <c r="N26" s="37"/>
      <c r="O26" s="37"/>
      <c r="P26" s="126"/>
      <c r="Q26" s="127"/>
      <c r="R26" s="37"/>
      <c r="S26" s="37"/>
      <c r="T26" s="37"/>
      <c r="U26" s="128"/>
      <c r="V26" s="37"/>
      <c r="W26" s="37"/>
      <c r="X26" s="37"/>
      <c r="Y26" s="128"/>
      <c r="Z26" s="37"/>
      <c r="AA26" s="37"/>
      <c r="AB26" s="37"/>
      <c r="AC26" s="128"/>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8"/>
    </row>
    <row r="27" spans="2:66" ht="16.5" customHeight="1" x14ac:dyDescent="0.25">
      <c r="B27" s="196"/>
      <c r="C27" s="30"/>
      <c r="D27" s="41"/>
      <c r="E27" s="41"/>
      <c r="F27" s="132"/>
      <c r="G27" s="30"/>
      <c r="H27" s="70" t="s">
        <v>11</v>
      </c>
      <c r="I27" s="71"/>
      <c r="J27" s="80"/>
      <c r="K27" s="81"/>
      <c r="L27" s="2"/>
      <c r="O27" s="81"/>
      <c r="P27" s="75"/>
      <c r="Q27" s="74" t="s">
        <v>78</v>
      </c>
      <c r="R27" s="88">
        <v>1</v>
      </c>
      <c r="S27" s="88">
        <v>2</v>
      </c>
      <c r="T27" s="88">
        <v>3</v>
      </c>
      <c r="U27" s="88">
        <v>4</v>
      </c>
      <c r="V27" s="88">
        <v>5</v>
      </c>
      <c r="W27" s="88">
        <v>6</v>
      </c>
      <c r="X27" s="88">
        <v>7</v>
      </c>
      <c r="Y27" s="88">
        <v>8</v>
      </c>
      <c r="Z27" s="88">
        <v>9</v>
      </c>
      <c r="AA27" s="88">
        <v>10</v>
      </c>
      <c r="AB27" s="88">
        <v>11</v>
      </c>
      <c r="AC27" s="88">
        <v>12</v>
      </c>
      <c r="AD27" s="88">
        <v>13</v>
      </c>
      <c r="AE27" s="88">
        <v>14</v>
      </c>
      <c r="AF27" s="88">
        <v>15</v>
      </c>
      <c r="AG27" s="88">
        <v>16</v>
      </c>
      <c r="AH27" s="88">
        <v>17</v>
      </c>
      <c r="AI27" s="88">
        <v>18</v>
      </c>
      <c r="AJ27" s="88">
        <v>19</v>
      </c>
      <c r="AK27" s="88">
        <v>20</v>
      </c>
      <c r="AL27" s="88">
        <v>21</v>
      </c>
      <c r="AM27" s="88">
        <v>22</v>
      </c>
      <c r="AN27" s="88">
        <v>23</v>
      </c>
      <c r="AO27" s="88">
        <v>24</v>
      </c>
      <c r="AP27" s="88">
        <v>25</v>
      </c>
      <c r="AQ27" s="88">
        <v>26</v>
      </c>
      <c r="AR27" s="88">
        <v>27</v>
      </c>
      <c r="AS27" s="88">
        <v>28</v>
      </c>
      <c r="AT27" s="88">
        <v>29</v>
      </c>
      <c r="AU27" s="88">
        <v>30</v>
      </c>
      <c r="AV27" s="88">
        <v>31</v>
      </c>
      <c r="AW27" s="88">
        <v>32</v>
      </c>
      <c r="AX27" s="88">
        <v>33</v>
      </c>
      <c r="AY27" s="88">
        <v>34</v>
      </c>
      <c r="AZ27" s="88">
        <v>35</v>
      </c>
      <c r="BA27" s="88">
        <v>36</v>
      </c>
      <c r="BB27" s="88">
        <v>37</v>
      </c>
      <c r="BC27" s="88">
        <v>38</v>
      </c>
      <c r="BD27" s="88">
        <v>39</v>
      </c>
      <c r="BE27" s="88">
        <v>40</v>
      </c>
      <c r="BF27" s="88">
        <v>41</v>
      </c>
      <c r="BG27" s="88">
        <v>42</v>
      </c>
      <c r="BH27" s="88">
        <v>43</v>
      </c>
      <c r="BI27" s="88">
        <v>44</v>
      </c>
      <c r="BJ27" s="88">
        <v>45</v>
      </c>
      <c r="BK27" s="88">
        <v>46</v>
      </c>
      <c r="BL27" s="88">
        <v>47</v>
      </c>
      <c r="BM27" s="88">
        <v>48</v>
      </c>
      <c r="BN27" s="80"/>
    </row>
    <row r="28" spans="2:66" ht="18.75" x14ac:dyDescent="0.35">
      <c r="B28" s="196"/>
      <c r="C28" s="30"/>
      <c r="D28" s="41"/>
      <c r="E28" s="41"/>
      <c r="F28" s="132" t="s">
        <v>136</v>
      </c>
      <c r="G28" s="30"/>
      <c r="H28" s="83" t="s">
        <v>29</v>
      </c>
      <c r="I28" s="158"/>
      <c r="J28" s="80"/>
      <c r="K28" s="81"/>
      <c r="L28" s="82" t="s">
        <v>53</v>
      </c>
      <c r="M28" s="82" t="s">
        <v>102</v>
      </c>
      <c r="N28" s="82" t="s">
        <v>70</v>
      </c>
      <c r="O28" s="81"/>
      <c r="P28" s="30"/>
      <c r="Q28" s="83" t="s">
        <v>35</v>
      </c>
      <c r="R28" s="159"/>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1"/>
      <c r="BN28" s="80"/>
    </row>
    <row r="29" spans="2:66" ht="18.75" x14ac:dyDescent="0.35">
      <c r="B29" s="196"/>
      <c r="C29" s="30"/>
      <c r="D29" s="41"/>
      <c r="E29" s="41"/>
      <c r="F29" s="132"/>
      <c r="G29" s="30"/>
      <c r="H29" s="77"/>
      <c r="I29" s="77"/>
      <c r="J29" s="80"/>
      <c r="K29" s="81"/>
      <c r="L29" s="178">
        <f>ROUND(IF(SUM(R28:BM28)=0,1.05,MAX(N29,N29^2)),2)</f>
        <v>1.05</v>
      </c>
      <c r="M29" s="84">
        <f>ROUND(IF(SUM(R28:BM28)=0,QLD_RLWP,SUMPRODUCT(R28:BM28,QLD_PHH)/SUM(R29:BM29)),2)</f>
        <v>31.69</v>
      </c>
      <c r="N29" s="84">
        <f>ROUND(M29/QLD_RLWP,2)</f>
        <v>1</v>
      </c>
      <c r="O29" s="81"/>
      <c r="P29" s="30"/>
      <c r="Q29" s="83" t="s">
        <v>36</v>
      </c>
      <c r="R29" s="162"/>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4"/>
      <c r="BN29" s="80"/>
    </row>
    <row r="30" spans="2:66" ht="18.75" x14ac:dyDescent="0.35">
      <c r="B30" s="196"/>
      <c r="C30" s="30"/>
      <c r="D30" s="41"/>
      <c r="E30" s="41"/>
      <c r="F30" s="132" t="s">
        <v>5</v>
      </c>
      <c r="G30" s="30"/>
      <c r="H30" s="83" t="s">
        <v>30</v>
      </c>
      <c r="I30" s="158"/>
      <c r="J30" s="80"/>
      <c r="K30" s="81"/>
      <c r="L30" s="46"/>
      <c r="M30" s="85"/>
      <c r="N30" s="85"/>
      <c r="O30" s="81"/>
      <c r="P30" s="30"/>
      <c r="Q30" s="83" t="s">
        <v>39</v>
      </c>
      <c r="R30" s="162"/>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4"/>
      <c r="BN30" s="80"/>
    </row>
    <row r="31" spans="2:66" ht="18.75" x14ac:dyDescent="0.35">
      <c r="B31" s="196"/>
      <c r="C31" s="30"/>
      <c r="D31" s="41"/>
      <c r="E31" s="41"/>
      <c r="F31" s="132" t="s">
        <v>6</v>
      </c>
      <c r="G31" s="30"/>
      <c r="H31" s="83" t="s">
        <v>31</v>
      </c>
      <c r="I31" s="158"/>
      <c r="J31" s="80"/>
      <c r="K31" s="81"/>
      <c r="L31" s="82" t="s">
        <v>54</v>
      </c>
      <c r="M31" s="82" t="s">
        <v>103</v>
      </c>
      <c r="N31" s="82" t="s">
        <v>71</v>
      </c>
      <c r="O31" s="81"/>
      <c r="P31" s="30"/>
      <c r="Q31" s="83" t="s">
        <v>40</v>
      </c>
      <c r="R31" s="162"/>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4"/>
      <c r="BN31" s="80"/>
    </row>
    <row r="32" spans="2:66" ht="18.75" x14ac:dyDescent="0.35">
      <c r="B32" s="196"/>
      <c r="C32" s="30"/>
      <c r="D32" s="41"/>
      <c r="E32" s="41"/>
      <c r="F32" s="132" t="s">
        <v>7</v>
      </c>
      <c r="G32" s="30"/>
      <c r="H32" s="83" t="s">
        <v>56</v>
      </c>
      <c r="I32" s="158"/>
      <c r="J32" s="80"/>
      <c r="K32" s="81"/>
      <c r="L32" s="178">
        <f>ROUND(IF(SUM(R35:BM35)=0,0.95,MAX(N32,N32^2)),2)</f>
        <v>0.95</v>
      </c>
      <c r="M32" s="84">
        <f>ROUND(IF(SUM(R35:BM35)=0,QLD_RLWP,SUMPRODUCT(R35:BM35,QLD_PHH)/SUM(R36:BM36)),2)</f>
        <v>31.69</v>
      </c>
      <c r="N32" s="84">
        <f>ROUND(M32/QLD_RLWP,2)</f>
        <v>1</v>
      </c>
      <c r="O32" s="81"/>
      <c r="P32" s="30"/>
      <c r="Q32" s="83" t="s">
        <v>62</v>
      </c>
      <c r="R32" s="162"/>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4"/>
      <c r="BN32" s="80"/>
    </row>
    <row r="33" spans="2:66" ht="18.75" x14ac:dyDescent="0.35">
      <c r="B33" s="196"/>
      <c r="C33" s="30"/>
      <c r="D33" s="41"/>
      <c r="E33" s="41"/>
      <c r="F33" s="132"/>
      <c r="G33" s="30"/>
      <c r="H33" s="83" t="s">
        <v>57</v>
      </c>
      <c r="I33" s="158"/>
      <c r="J33" s="80"/>
      <c r="K33" s="81"/>
      <c r="L33" s="46"/>
      <c r="M33" s="85"/>
      <c r="N33" s="85"/>
      <c r="O33" s="81"/>
      <c r="P33" s="30"/>
      <c r="Q33" s="83" t="s">
        <v>63</v>
      </c>
      <c r="R33" s="162"/>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4"/>
      <c r="BN33" s="80"/>
    </row>
    <row r="34" spans="2:66" ht="18.75" x14ac:dyDescent="0.35">
      <c r="B34" s="196"/>
      <c r="C34" s="30"/>
      <c r="D34" s="41"/>
      <c r="E34" s="41"/>
      <c r="F34" s="132"/>
      <c r="G34" s="30"/>
      <c r="H34" s="83" t="s">
        <v>58</v>
      </c>
      <c r="I34" s="158"/>
      <c r="J34" s="80"/>
      <c r="K34" s="81"/>
      <c r="L34" s="82" t="s">
        <v>55</v>
      </c>
      <c r="M34" s="82" t="s">
        <v>104</v>
      </c>
      <c r="N34" s="82" t="s">
        <v>79</v>
      </c>
      <c r="O34" s="81"/>
      <c r="P34" s="30"/>
      <c r="Q34" s="83" t="s">
        <v>64</v>
      </c>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4"/>
      <c r="BN34" s="80"/>
    </row>
    <row r="35" spans="2:66" ht="18.75" x14ac:dyDescent="0.35">
      <c r="B35" s="196"/>
      <c r="C35" s="30"/>
      <c r="D35" s="41"/>
      <c r="E35" s="41"/>
      <c r="F35" s="132" t="s">
        <v>137</v>
      </c>
      <c r="G35" s="30"/>
      <c r="H35" s="83" t="s">
        <v>32</v>
      </c>
      <c r="I35" s="158"/>
      <c r="J35" s="80"/>
      <c r="K35" s="81"/>
      <c r="L35" s="178">
        <f>ROUND(MAX(N35,N35^2),2)</f>
        <v>1</v>
      </c>
      <c r="M35" s="84">
        <f>ROUND(IF(SUM(R42:BM42)=0,QLD_RLWP,SUMPRODUCT(R42:BM42,QLD_PHH)/SUM(R42:BM42)),2)</f>
        <v>31.69</v>
      </c>
      <c r="N35" s="84">
        <f>ROUND(M35/QLD_RLWP,2)</f>
        <v>1</v>
      </c>
      <c r="O35" s="81"/>
      <c r="P35" s="30"/>
      <c r="Q35" s="83" t="s">
        <v>37</v>
      </c>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4"/>
      <c r="BN35" s="80"/>
    </row>
    <row r="36" spans="2:66" ht="18.75" x14ac:dyDescent="0.35">
      <c r="B36" s="196"/>
      <c r="C36" s="30"/>
      <c r="D36" s="41"/>
      <c r="E36" s="41"/>
      <c r="F36" s="132"/>
      <c r="G36" s="30"/>
      <c r="H36" s="77"/>
      <c r="I36" s="77"/>
      <c r="J36" s="80"/>
      <c r="K36" s="81"/>
      <c r="L36" s="46"/>
      <c r="M36" s="85"/>
      <c r="N36" s="85"/>
      <c r="O36" s="81"/>
      <c r="P36" s="30"/>
      <c r="Q36" s="83" t="s">
        <v>38</v>
      </c>
      <c r="R36" s="162"/>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4"/>
      <c r="BN36" s="80"/>
    </row>
    <row r="37" spans="2:66" ht="18.75" x14ac:dyDescent="0.35">
      <c r="B37" s="196"/>
      <c r="C37" s="30"/>
      <c r="D37" s="41"/>
      <c r="E37" s="41"/>
      <c r="F37" s="132" t="s">
        <v>8</v>
      </c>
      <c r="G37" s="30"/>
      <c r="H37" s="83" t="s">
        <v>33</v>
      </c>
      <c r="I37" s="158"/>
      <c r="J37" s="80"/>
      <c r="K37" s="81"/>
      <c r="L37" s="82" t="s">
        <v>85</v>
      </c>
      <c r="M37" s="82" t="s">
        <v>105</v>
      </c>
      <c r="N37" s="82" t="s">
        <v>83</v>
      </c>
      <c r="O37" s="81"/>
      <c r="P37" s="30"/>
      <c r="Q37" s="83" t="s">
        <v>41</v>
      </c>
      <c r="R37" s="162"/>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4"/>
      <c r="BN37" s="80"/>
    </row>
    <row r="38" spans="2:66" ht="18.75" x14ac:dyDescent="0.35">
      <c r="B38" s="196"/>
      <c r="C38" s="30"/>
      <c r="D38" s="41"/>
      <c r="E38" s="41"/>
      <c r="F38" s="132" t="s">
        <v>9</v>
      </c>
      <c r="G38" s="30"/>
      <c r="H38" s="83" t="s">
        <v>34</v>
      </c>
      <c r="I38" s="158"/>
      <c r="J38" s="80"/>
      <c r="K38" s="81"/>
      <c r="L38" s="178">
        <f>ROUND(MAX(N38,N38^2),2)</f>
        <v>1</v>
      </c>
      <c r="M38" s="84">
        <f>ROUND(IF(SUM(R43:BM43)=0,QLD_RLWPC100,SUMPRODUCT(R43:BM43,QLD_PHHC100)/SUM(R43:BM43)),2)</f>
        <v>28.56</v>
      </c>
      <c r="N38" s="84">
        <f>ROUND(M38/QLD_RLWPC100,2)</f>
        <v>1</v>
      </c>
      <c r="O38" s="81"/>
      <c r="P38" s="30"/>
      <c r="Q38" s="83" t="s">
        <v>42</v>
      </c>
      <c r="R38" s="162"/>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4"/>
      <c r="BN38" s="80"/>
    </row>
    <row r="39" spans="2:66" ht="18.75" x14ac:dyDescent="0.35">
      <c r="B39" s="196"/>
      <c r="C39" s="30"/>
      <c r="D39" s="41"/>
      <c r="E39" s="41"/>
      <c r="F39" s="132" t="s">
        <v>10</v>
      </c>
      <c r="G39" s="30"/>
      <c r="H39" s="83" t="s">
        <v>59</v>
      </c>
      <c r="I39" s="158"/>
      <c r="J39" s="80"/>
      <c r="K39" s="81"/>
      <c r="L39" s="2"/>
      <c r="O39" s="81"/>
      <c r="P39" s="30"/>
      <c r="Q39" s="83" t="s">
        <v>65</v>
      </c>
      <c r="R39" s="162"/>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4"/>
      <c r="BN39" s="80"/>
    </row>
    <row r="40" spans="2:66" ht="18.75" x14ac:dyDescent="0.35">
      <c r="B40" s="196"/>
      <c r="C40" s="30"/>
      <c r="D40" s="41"/>
      <c r="E40" s="41"/>
      <c r="F40" s="132"/>
      <c r="G40" s="30"/>
      <c r="H40" s="83" t="s">
        <v>60</v>
      </c>
      <c r="I40" s="158"/>
      <c r="J40" s="80"/>
      <c r="K40" s="81"/>
      <c r="L40" s="82" t="s">
        <v>82</v>
      </c>
      <c r="M40" s="82" t="s">
        <v>106</v>
      </c>
      <c r="N40" s="82" t="s">
        <v>84</v>
      </c>
      <c r="O40" s="81"/>
      <c r="P40" s="30"/>
      <c r="Q40" s="83" t="s">
        <v>66</v>
      </c>
      <c r="R40" s="162"/>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4"/>
      <c r="BN40" s="80"/>
    </row>
    <row r="41" spans="2:66" ht="18.75" x14ac:dyDescent="0.35">
      <c r="B41" s="196"/>
      <c r="C41" s="30"/>
      <c r="D41" s="41"/>
      <c r="E41" s="41"/>
      <c r="F41" s="132"/>
      <c r="G41" s="30"/>
      <c r="H41" s="83" t="s">
        <v>61</v>
      </c>
      <c r="I41" s="158"/>
      <c r="J41" s="80"/>
      <c r="K41" s="81"/>
      <c r="L41" s="178">
        <f>ROUND(MAX(N41,N41^2),2)</f>
        <v>1</v>
      </c>
      <c r="M41" s="84">
        <f>ROUND(IF(SUM(R44:BM44)=0,QLD_RLWPC200,SUMPRODUCT(R44:BM44,QLD_PHHC200)/SUM(R44:BM44)),2)</f>
        <v>29.19</v>
      </c>
      <c r="N41" s="84">
        <f>ROUND(M41/QLD_RLWPC200,2)</f>
        <v>1</v>
      </c>
      <c r="O41" s="81"/>
      <c r="P41" s="30"/>
      <c r="Q41" s="83" t="s">
        <v>67</v>
      </c>
      <c r="R41" s="162"/>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4"/>
      <c r="BN41" s="80"/>
    </row>
    <row r="42" spans="2:66" x14ac:dyDescent="0.25">
      <c r="B42" s="196"/>
      <c r="C42" s="30"/>
      <c r="D42" s="41"/>
      <c r="E42" s="41"/>
      <c r="F42" s="132"/>
      <c r="G42" s="30"/>
      <c r="H42" s="41"/>
      <c r="I42" s="41"/>
      <c r="J42" s="80"/>
      <c r="K42" s="81"/>
      <c r="L42" s="2"/>
      <c r="O42" s="81"/>
      <c r="P42" s="30"/>
      <c r="Q42" s="113" t="s">
        <v>68</v>
      </c>
      <c r="R42" s="114">
        <f>SUM(R30:R31)-SUM(R37:R38)</f>
        <v>0</v>
      </c>
      <c r="S42" s="115">
        <f t="shared" ref="S42:BM42" si="4">SUM(S30:S31)-SUM(S37:S38)</f>
        <v>0</v>
      </c>
      <c r="T42" s="115">
        <f t="shared" si="4"/>
        <v>0</v>
      </c>
      <c r="U42" s="115">
        <f t="shared" si="4"/>
        <v>0</v>
      </c>
      <c r="V42" s="115">
        <f t="shared" si="4"/>
        <v>0</v>
      </c>
      <c r="W42" s="115">
        <f t="shared" si="4"/>
        <v>0</v>
      </c>
      <c r="X42" s="115">
        <f t="shared" si="4"/>
        <v>0</v>
      </c>
      <c r="Y42" s="115">
        <f t="shared" si="4"/>
        <v>0</v>
      </c>
      <c r="Z42" s="115">
        <f t="shared" si="4"/>
        <v>0</v>
      </c>
      <c r="AA42" s="115">
        <f t="shared" si="4"/>
        <v>0</v>
      </c>
      <c r="AB42" s="115">
        <f t="shared" si="4"/>
        <v>0</v>
      </c>
      <c r="AC42" s="115">
        <f t="shared" si="4"/>
        <v>0</v>
      </c>
      <c r="AD42" s="115">
        <f t="shared" si="4"/>
        <v>0</v>
      </c>
      <c r="AE42" s="115">
        <f t="shared" si="4"/>
        <v>0</v>
      </c>
      <c r="AF42" s="115">
        <f t="shared" si="4"/>
        <v>0</v>
      </c>
      <c r="AG42" s="115">
        <f t="shared" si="4"/>
        <v>0</v>
      </c>
      <c r="AH42" s="115">
        <f t="shared" si="4"/>
        <v>0</v>
      </c>
      <c r="AI42" s="115">
        <f t="shared" si="4"/>
        <v>0</v>
      </c>
      <c r="AJ42" s="115">
        <f t="shared" si="4"/>
        <v>0</v>
      </c>
      <c r="AK42" s="115">
        <f t="shared" si="4"/>
        <v>0</v>
      </c>
      <c r="AL42" s="115">
        <f t="shared" si="4"/>
        <v>0</v>
      </c>
      <c r="AM42" s="115">
        <f t="shared" si="4"/>
        <v>0</v>
      </c>
      <c r="AN42" s="115">
        <f t="shared" si="4"/>
        <v>0</v>
      </c>
      <c r="AO42" s="115">
        <f t="shared" si="4"/>
        <v>0</v>
      </c>
      <c r="AP42" s="115">
        <f t="shared" si="4"/>
        <v>0</v>
      </c>
      <c r="AQ42" s="115">
        <f t="shared" si="4"/>
        <v>0</v>
      </c>
      <c r="AR42" s="115">
        <f t="shared" si="4"/>
        <v>0</v>
      </c>
      <c r="AS42" s="115">
        <f t="shared" si="4"/>
        <v>0</v>
      </c>
      <c r="AT42" s="115">
        <f t="shared" si="4"/>
        <v>0</v>
      </c>
      <c r="AU42" s="115">
        <f t="shared" si="4"/>
        <v>0</v>
      </c>
      <c r="AV42" s="115">
        <f t="shared" si="4"/>
        <v>0</v>
      </c>
      <c r="AW42" s="115">
        <f t="shared" si="4"/>
        <v>0</v>
      </c>
      <c r="AX42" s="115">
        <f t="shared" si="4"/>
        <v>0</v>
      </c>
      <c r="AY42" s="115">
        <f t="shared" si="4"/>
        <v>0</v>
      </c>
      <c r="AZ42" s="115">
        <f t="shared" si="4"/>
        <v>0</v>
      </c>
      <c r="BA42" s="115">
        <f t="shared" si="4"/>
        <v>0</v>
      </c>
      <c r="BB42" s="115">
        <f t="shared" si="4"/>
        <v>0</v>
      </c>
      <c r="BC42" s="115">
        <f t="shared" si="4"/>
        <v>0</v>
      </c>
      <c r="BD42" s="115">
        <f t="shared" si="4"/>
        <v>0</v>
      </c>
      <c r="BE42" s="115">
        <f t="shared" si="4"/>
        <v>0</v>
      </c>
      <c r="BF42" s="115">
        <f t="shared" si="4"/>
        <v>0</v>
      </c>
      <c r="BG42" s="115">
        <f t="shared" si="4"/>
        <v>0</v>
      </c>
      <c r="BH42" s="115">
        <f t="shared" si="4"/>
        <v>0</v>
      </c>
      <c r="BI42" s="115">
        <f t="shared" si="4"/>
        <v>0</v>
      </c>
      <c r="BJ42" s="115">
        <f t="shared" si="4"/>
        <v>0</v>
      </c>
      <c r="BK42" s="115">
        <f t="shared" si="4"/>
        <v>0</v>
      </c>
      <c r="BL42" s="115">
        <f t="shared" si="4"/>
        <v>0</v>
      </c>
      <c r="BM42" s="116">
        <f t="shared" si="4"/>
        <v>0</v>
      </c>
      <c r="BN42" s="80"/>
    </row>
    <row r="43" spans="2:66" ht="18.75" x14ac:dyDescent="0.35">
      <c r="B43" s="196"/>
      <c r="C43" s="30"/>
      <c r="D43" s="113" t="s">
        <v>143</v>
      </c>
      <c r="E43" s="157">
        <v>0</v>
      </c>
      <c r="F43" s="132"/>
      <c r="G43" s="30"/>
      <c r="H43" s="83" t="s">
        <v>43</v>
      </c>
      <c r="I43" s="158">
        <v>0</v>
      </c>
      <c r="J43" s="80"/>
      <c r="K43" s="81"/>
      <c r="L43" s="82" t="s">
        <v>81</v>
      </c>
      <c r="M43" s="82" t="s">
        <v>107</v>
      </c>
      <c r="N43" s="82" t="s">
        <v>80</v>
      </c>
      <c r="O43" s="81"/>
      <c r="P43" s="30"/>
      <c r="Q43" s="113" t="s">
        <v>69</v>
      </c>
      <c r="R43" s="114">
        <f>R32-R39</f>
        <v>0</v>
      </c>
      <c r="S43" s="115">
        <f t="shared" ref="S43:BM43" si="5">S32-S39</f>
        <v>0</v>
      </c>
      <c r="T43" s="115">
        <f t="shared" si="5"/>
        <v>0</v>
      </c>
      <c r="U43" s="115">
        <f t="shared" si="5"/>
        <v>0</v>
      </c>
      <c r="V43" s="115">
        <f t="shared" si="5"/>
        <v>0</v>
      </c>
      <c r="W43" s="115">
        <f t="shared" si="5"/>
        <v>0</v>
      </c>
      <c r="X43" s="115">
        <f t="shared" si="5"/>
        <v>0</v>
      </c>
      <c r="Y43" s="115">
        <f t="shared" si="5"/>
        <v>0</v>
      </c>
      <c r="Z43" s="115">
        <f t="shared" si="5"/>
        <v>0</v>
      </c>
      <c r="AA43" s="115">
        <f t="shared" si="5"/>
        <v>0</v>
      </c>
      <c r="AB43" s="115">
        <f t="shared" si="5"/>
        <v>0</v>
      </c>
      <c r="AC43" s="115">
        <f t="shared" si="5"/>
        <v>0</v>
      </c>
      <c r="AD43" s="115">
        <f t="shared" si="5"/>
        <v>0</v>
      </c>
      <c r="AE43" s="115">
        <f t="shared" si="5"/>
        <v>0</v>
      </c>
      <c r="AF43" s="115">
        <f t="shared" si="5"/>
        <v>0</v>
      </c>
      <c r="AG43" s="115">
        <f t="shared" si="5"/>
        <v>0</v>
      </c>
      <c r="AH43" s="115">
        <f t="shared" si="5"/>
        <v>0</v>
      </c>
      <c r="AI43" s="115">
        <f t="shared" si="5"/>
        <v>0</v>
      </c>
      <c r="AJ43" s="115">
        <f t="shared" si="5"/>
        <v>0</v>
      </c>
      <c r="AK43" s="115">
        <f t="shared" si="5"/>
        <v>0</v>
      </c>
      <c r="AL43" s="115">
        <f t="shared" si="5"/>
        <v>0</v>
      </c>
      <c r="AM43" s="115">
        <f t="shared" si="5"/>
        <v>0</v>
      </c>
      <c r="AN43" s="115">
        <f t="shared" si="5"/>
        <v>0</v>
      </c>
      <c r="AO43" s="115">
        <f t="shared" si="5"/>
        <v>0</v>
      </c>
      <c r="AP43" s="115">
        <f t="shared" si="5"/>
        <v>0</v>
      </c>
      <c r="AQ43" s="115">
        <f t="shared" si="5"/>
        <v>0</v>
      </c>
      <c r="AR43" s="115">
        <f t="shared" si="5"/>
        <v>0</v>
      </c>
      <c r="AS43" s="115">
        <f t="shared" si="5"/>
        <v>0</v>
      </c>
      <c r="AT43" s="115">
        <f t="shared" si="5"/>
        <v>0</v>
      </c>
      <c r="AU43" s="115">
        <f t="shared" si="5"/>
        <v>0</v>
      </c>
      <c r="AV43" s="115">
        <f t="shared" si="5"/>
        <v>0</v>
      </c>
      <c r="AW43" s="115">
        <f t="shared" si="5"/>
        <v>0</v>
      </c>
      <c r="AX43" s="115">
        <f t="shared" si="5"/>
        <v>0</v>
      </c>
      <c r="AY43" s="115">
        <f t="shared" si="5"/>
        <v>0</v>
      </c>
      <c r="AZ43" s="115">
        <f t="shared" si="5"/>
        <v>0</v>
      </c>
      <c r="BA43" s="115">
        <f t="shared" si="5"/>
        <v>0</v>
      </c>
      <c r="BB43" s="115">
        <f t="shared" si="5"/>
        <v>0</v>
      </c>
      <c r="BC43" s="115">
        <f t="shared" si="5"/>
        <v>0</v>
      </c>
      <c r="BD43" s="115">
        <f t="shared" si="5"/>
        <v>0</v>
      </c>
      <c r="BE43" s="115">
        <f t="shared" si="5"/>
        <v>0</v>
      </c>
      <c r="BF43" s="115">
        <f t="shared" si="5"/>
        <v>0</v>
      </c>
      <c r="BG43" s="115">
        <f t="shared" si="5"/>
        <v>0</v>
      </c>
      <c r="BH43" s="115">
        <f t="shared" si="5"/>
        <v>0</v>
      </c>
      <c r="BI43" s="115">
        <f t="shared" si="5"/>
        <v>0</v>
      </c>
      <c r="BJ43" s="115">
        <f t="shared" si="5"/>
        <v>0</v>
      </c>
      <c r="BK43" s="115">
        <f t="shared" si="5"/>
        <v>0</v>
      </c>
      <c r="BL43" s="115">
        <f t="shared" si="5"/>
        <v>0</v>
      </c>
      <c r="BM43" s="116">
        <f t="shared" si="5"/>
        <v>0</v>
      </c>
      <c r="BN43" s="80"/>
    </row>
    <row r="44" spans="2:66" ht="18.75" x14ac:dyDescent="0.35">
      <c r="B44" s="196"/>
      <c r="C44" s="30"/>
      <c r="D44" s="113" t="s">
        <v>144</v>
      </c>
      <c r="E44" s="157">
        <v>0</v>
      </c>
      <c r="F44" s="132"/>
      <c r="G44" s="30"/>
      <c r="H44" s="83" t="s">
        <v>44</v>
      </c>
      <c r="I44" s="158">
        <v>0</v>
      </c>
      <c r="J44" s="80"/>
      <c r="K44" s="81"/>
      <c r="L44" s="178">
        <f>ROUND(MAX(N44,N44^2),2)</f>
        <v>1</v>
      </c>
      <c r="M44" s="84">
        <f>ROUND(IF(SUM(R45:BM45)=0,QLD_RLWPC300,SUMPRODUCT(R45:BM45,QLD_PHHC300)/SUM(R45:BM45)),2)</f>
        <v>29.5</v>
      </c>
      <c r="N44" s="84">
        <f>ROUND(M44/QLD_RLWPC300,2)</f>
        <v>1</v>
      </c>
      <c r="O44" s="81"/>
      <c r="P44" s="30"/>
      <c r="Q44" s="113" t="s">
        <v>86</v>
      </c>
      <c r="R44" s="114">
        <f t="shared" ref="R44:BM44" si="6">R33-R40</f>
        <v>0</v>
      </c>
      <c r="S44" s="115">
        <f t="shared" si="6"/>
        <v>0</v>
      </c>
      <c r="T44" s="115">
        <f t="shared" si="6"/>
        <v>0</v>
      </c>
      <c r="U44" s="115">
        <f t="shared" si="6"/>
        <v>0</v>
      </c>
      <c r="V44" s="115">
        <f t="shared" si="6"/>
        <v>0</v>
      </c>
      <c r="W44" s="115">
        <f t="shared" si="6"/>
        <v>0</v>
      </c>
      <c r="X44" s="115">
        <f t="shared" si="6"/>
        <v>0</v>
      </c>
      <c r="Y44" s="115">
        <f t="shared" si="6"/>
        <v>0</v>
      </c>
      <c r="Z44" s="115">
        <f t="shared" si="6"/>
        <v>0</v>
      </c>
      <c r="AA44" s="115">
        <f t="shared" si="6"/>
        <v>0</v>
      </c>
      <c r="AB44" s="115">
        <f t="shared" si="6"/>
        <v>0</v>
      </c>
      <c r="AC44" s="115">
        <f t="shared" si="6"/>
        <v>0</v>
      </c>
      <c r="AD44" s="115">
        <f t="shared" si="6"/>
        <v>0</v>
      </c>
      <c r="AE44" s="115">
        <f t="shared" si="6"/>
        <v>0</v>
      </c>
      <c r="AF44" s="115">
        <f t="shared" si="6"/>
        <v>0</v>
      </c>
      <c r="AG44" s="115">
        <f t="shared" si="6"/>
        <v>0</v>
      </c>
      <c r="AH44" s="115">
        <f t="shared" si="6"/>
        <v>0</v>
      </c>
      <c r="AI44" s="115">
        <f t="shared" si="6"/>
        <v>0</v>
      </c>
      <c r="AJ44" s="115">
        <f t="shared" si="6"/>
        <v>0</v>
      </c>
      <c r="AK44" s="115">
        <f t="shared" si="6"/>
        <v>0</v>
      </c>
      <c r="AL44" s="115">
        <f t="shared" si="6"/>
        <v>0</v>
      </c>
      <c r="AM44" s="115">
        <f t="shared" si="6"/>
        <v>0</v>
      </c>
      <c r="AN44" s="115">
        <f t="shared" si="6"/>
        <v>0</v>
      </c>
      <c r="AO44" s="115">
        <f t="shared" si="6"/>
        <v>0</v>
      </c>
      <c r="AP44" s="115">
        <f t="shared" si="6"/>
        <v>0</v>
      </c>
      <c r="AQ44" s="115">
        <f t="shared" si="6"/>
        <v>0</v>
      </c>
      <c r="AR44" s="115">
        <f t="shared" si="6"/>
        <v>0</v>
      </c>
      <c r="AS44" s="115">
        <f t="shared" si="6"/>
        <v>0</v>
      </c>
      <c r="AT44" s="115">
        <f t="shared" si="6"/>
        <v>0</v>
      </c>
      <c r="AU44" s="115">
        <f t="shared" si="6"/>
        <v>0</v>
      </c>
      <c r="AV44" s="115">
        <f t="shared" si="6"/>
        <v>0</v>
      </c>
      <c r="AW44" s="115">
        <f t="shared" si="6"/>
        <v>0</v>
      </c>
      <c r="AX44" s="115">
        <f t="shared" si="6"/>
        <v>0</v>
      </c>
      <c r="AY44" s="115">
        <f t="shared" si="6"/>
        <v>0</v>
      </c>
      <c r="AZ44" s="115">
        <f t="shared" si="6"/>
        <v>0</v>
      </c>
      <c r="BA44" s="115">
        <f t="shared" si="6"/>
        <v>0</v>
      </c>
      <c r="BB44" s="115">
        <f t="shared" si="6"/>
        <v>0</v>
      </c>
      <c r="BC44" s="115">
        <f t="shared" si="6"/>
        <v>0</v>
      </c>
      <c r="BD44" s="115">
        <f t="shared" si="6"/>
        <v>0</v>
      </c>
      <c r="BE44" s="115">
        <f t="shared" si="6"/>
        <v>0</v>
      </c>
      <c r="BF44" s="115">
        <f t="shared" si="6"/>
        <v>0</v>
      </c>
      <c r="BG44" s="115">
        <f t="shared" si="6"/>
        <v>0</v>
      </c>
      <c r="BH44" s="115">
        <f t="shared" si="6"/>
        <v>0</v>
      </c>
      <c r="BI44" s="115">
        <f t="shared" si="6"/>
        <v>0</v>
      </c>
      <c r="BJ44" s="115">
        <f t="shared" si="6"/>
        <v>0</v>
      </c>
      <c r="BK44" s="115">
        <f t="shared" si="6"/>
        <v>0</v>
      </c>
      <c r="BL44" s="115">
        <f t="shared" si="6"/>
        <v>0</v>
      </c>
      <c r="BM44" s="116">
        <f t="shared" si="6"/>
        <v>0</v>
      </c>
      <c r="BN44" s="80"/>
    </row>
    <row r="45" spans="2:66" x14ac:dyDescent="0.25">
      <c r="B45" s="196"/>
      <c r="C45" s="30"/>
      <c r="D45" s="41"/>
      <c r="E45" s="41"/>
      <c r="F45" s="132"/>
      <c r="G45" s="30"/>
      <c r="H45" s="41"/>
      <c r="I45" s="41"/>
      <c r="J45" s="80"/>
      <c r="K45" s="81"/>
      <c r="L45" s="2"/>
      <c r="O45" s="81"/>
      <c r="P45" s="30"/>
      <c r="Q45" s="113" t="s">
        <v>87</v>
      </c>
      <c r="R45" s="117">
        <f>R34-R41</f>
        <v>0</v>
      </c>
      <c r="S45" s="118">
        <f t="shared" ref="S45:BM45" si="7">S34-S41</f>
        <v>0</v>
      </c>
      <c r="T45" s="118">
        <f t="shared" si="7"/>
        <v>0</v>
      </c>
      <c r="U45" s="118">
        <f t="shared" si="7"/>
        <v>0</v>
      </c>
      <c r="V45" s="118">
        <f t="shared" si="7"/>
        <v>0</v>
      </c>
      <c r="W45" s="118">
        <f t="shared" si="7"/>
        <v>0</v>
      </c>
      <c r="X45" s="118">
        <f t="shared" si="7"/>
        <v>0</v>
      </c>
      <c r="Y45" s="118">
        <f t="shared" si="7"/>
        <v>0</v>
      </c>
      <c r="Z45" s="118">
        <f t="shared" si="7"/>
        <v>0</v>
      </c>
      <c r="AA45" s="118">
        <f t="shared" si="7"/>
        <v>0</v>
      </c>
      <c r="AB45" s="118">
        <f t="shared" si="7"/>
        <v>0</v>
      </c>
      <c r="AC45" s="118">
        <f t="shared" si="7"/>
        <v>0</v>
      </c>
      <c r="AD45" s="118">
        <f t="shared" si="7"/>
        <v>0</v>
      </c>
      <c r="AE45" s="118">
        <f t="shared" si="7"/>
        <v>0</v>
      </c>
      <c r="AF45" s="118">
        <f t="shared" si="7"/>
        <v>0</v>
      </c>
      <c r="AG45" s="118">
        <f t="shared" si="7"/>
        <v>0</v>
      </c>
      <c r="AH45" s="118">
        <f t="shared" si="7"/>
        <v>0</v>
      </c>
      <c r="AI45" s="118">
        <f t="shared" si="7"/>
        <v>0</v>
      </c>
      <c r="AJ45" s="118">
        <f t="shared" si="7"/>
        <v>0</v>
      </c>
      <c r="AK45" s="118">
        <f t="shared" si="7"/>
        <v>0</v>
      </c>
      <c r="AL45" s="118">
        <f t="shared" si="7"/>
        <v>0</v>
      </c>
      <c r="AM45" s="118">
        <f t="shared" si="7"/>
        <v>0</v>
      </c>
      <c r="AN45" s="118">
        <f t="shared" si="7"/>
        <v>0</v>
      </c>
      <c r="AO45" s="118">
        <f t="shared" si="7"/>
        <v>0</v>
      </c>
      <c r="AP45" s="118">
        <f t="shared" si="7"/>
        <v>0</v>
      </c>
      <c r="AQ45" s="118">
        <f t="shared" si="7"/>
        <v>0</v>
      </c>
      <c r="AR45" s="118">
        <f t="shared" si="7"/>
        <v>0</v>
      </c>
      <c r="AS45" s="118">
        <f t="shared" si="7"/>
        <v>0</v>
      </c>
      <c r="AT45" s="118">
        <f t="shared" si="7"/>
        <v>0</v>
      </c>
      <c r="AU45" s="118">
        <f t="shared" si="7"/>
        <v>0</v>
      </c>
      <c r="AV45" s="118">
        <f t="shared" si="7"/>
        <v>0</v>
      </c>
      <c r="AW45" s="118">
        <f t="shared" si="7"/>
        <v>0</v>
      </c>
      <c r="AX45" s="118">
        <f t="shared" si="7"/>
        <v>0</v>
      </c>
      <c r="AY45" s="118">
        <f t="shared" si="7"/>
        <v>0</v>
      </c>
      <c r="AZ45" s="118">
        <f t="shared" si="7"/>
        <v>0</v>
      </c>
      <c r="BA45" s="118">
        <f t="shared" si="7"/>
        <v>0</v>
      </c>
      <c r="BB45" s="118">
        <f t="shared" si="7"/>
        <v>0</v>
      </c>
      <c r="BC45" s="118">
        <f t="shared" si="7"/>
        <v>0</v>
      </c>
      <c r="BD45" s="118">
        <f t="shared" si="7"/>
        <v>0</v>
      </c>
      <c r="BE45" s="118">
        <f t="shared" si="7"/>
        <v>0</v>
      </c>
      <c r="BF45" s="118">
        <f t="shared" si="7"/>
        <v>0</v>
      </c>
      <c r="BG45" s="118">
        <f t="shared" si="7"/>
        <v>0</v>
      </c>
      <c r="BH45" s="118">
        <f t="shared" si="7"/>
        <v>0</v>
      </c>
      <c r="BI45" s="118">
        <f t="shared" si="7"/>
        <v>0</v>
      </c>
      <c r="BJ45" s="118">
        <f t="shared" si="7"/>
        <v>0</v>
      </c>
      <c r="BK45" s="118">
        <f t="shared" si="7"/>
        <v>0</v>
      </c>
      <c r="BL45" s="118">
        <f t="shared" si="7"/>
        <v>0</v>
      </c>
      <c r="BM45" s="119">
        <f t="shared" si="7"/>
        <v>0</v>
      </c>
      <c r="BN45" s="80"/>
    </row>
    <row r="46" spans="2:66" ht="5.25" customHeight="1" x14ac:dyDescent="0.25">
      <c r="B46" s="197"/>
      <c r="C46" s="130"/>
      <c r="D46" s="55"/>
      <c r="E46" s="55"/>
      <c r="F46" s="78"/>
      <c r="G46" s="72"/>
      <c r="H46" s="73"/>
      <c r="I46" s="73"/>
      <c r="J46" s="87"/>
      <c r="K46" s="86"/>
      <c r="L46" s="121"/>
      <c r="M46" s="86"/>
      <c r="N46" s="86"/>
      <c r="O46" s="86"/>
      <c r="P46" s="72"/>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7"/>
    </row>
    <row r="47" spans="2:66" ht="5.25" customHeight="1" x14ac:dyDescent="0.5">
      <c r="B47" s="195" t="s">
        <v>2</v>
      </c>
      <c r="C47" s="129"/>
      <c r="D47" s="133"/>
      <c r="E47" s="133"/>
      <c r="F47" s="131"/>
      <c r="G47" s="68"/>
      <c r="H47" s="125"/>
      <c r="I47" s="69"/>
      <c r="J47" s="38"/>
      <c r="K47" s="37"/>
      <c r="L47" s="36"/>
      <c r="M47" s="37"/>
      <c r="N47" s="37"/>
      <c r="O47" s="37"/>
      <c r="P47" s="126"/>
      <c r="Q47" s="127"/>
      <c r="R47" s="37"/>
      <c r="S47" s="37"/>
      <c r="T47" s="37"/>
      <c r="U47" s="128"/>
      <c r="V47" s="37"/>
      <c r="W47" s="37"/>
      <c r="X47" s="37"/>
      <c r="Y47" s="128"/>
      <c r="Z47" s="37"/>
      <c r="AA47" s="37"/>
      <c r="AB47" s="37"/>
      <c r="AC47" s="128"/>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8"/>
    </row>
    <row r="48" spans="2:66" ht="16.5" customHeight="1" x14ac:dyDescent="0.25">
      <c r="B48" s="196"/>
      <c r="C48" s="30"/>
      <c r="D48" s="41"/>
      <c r="E48" s="41"/>
      <c r="F48" s="132"/>
      <c r="G48" s="30"/>
      <c r="H48" s="70" t="s">
        <v>11</v>
      </c>
      <c r="I48" s="71"/>
      <c r="J48" s="80"/>
      <c r="K48" s="81"/>
      <c r="L48" s="2"/>
      <c r="O48" s="81"/>
      <c r="P48" s="75"/>
      <c r="Q48" s="74" t="s">
        <v>78</v>
      </c>
      <c r="R48" s="88">
        <v>1</v>
      </c>
      <c r="S48" s="88">
        <v>2</v>
      </c>
      <c r="T48" s="88">
        <v>3</v>
      </c>
      <c r="U48" s="88">
        <v>4</v>
      </c>
      <c r="V48" s="88">
        <v>5</v>
      </c>
      <c r="W48" s="88">
        <v>6</v>
      </c>
      <c r="X48" s="88">
        <v>7</v>
      </c>
      <c r="Y48" s="88">
        <v>8</v>
      </c>
      <c r="Z48" s="88">
        <v>9</v>
      </c>
      <c r="AA48" s="88">
        <v>10</v>
      </c>
      <c r="AB48" s="88">
        <v>11</v>
      </c>
      <c r="AC48" s="88">
        <v>12</v>
      </c>
      <c r="AD48" s="88">
        <v>13</v>
      </c>
      <c r="AE48" s="88">
        <v>14</v>
      </c>
      <c r="AF48" s="88">
        <v>15</v>
      </c>
      <c r="AG48" s="88">
        <v>16</v>
      </c>
      <c r="AH48" s="88">
        <v>17</v>
      </c>
      <c r="AI48" s="88">
        <v>18</v>
      </c>
      <c r="AJ48" s="88">
        <v>19</v>
      </c>
      <c r="AK48" s="88">
        <v>20</v>
      </c>
      <c r="AL48" s="88">
        <v>21</v>
      </c>
      <c r="AM48" s="88">
        <v>22</v>
      </c>
      <c r="AN48" s="88">
        <v>23</v>
      </c>
      <c r="AO48" s="88">
        <v>24</v>
      </c>
      <c r="AP48" s="88">
        <v>25</v>
      </c>
      <c r="AQ48" s="88">
        <v>26</v>
      </c>
      <c r="AR48" s="88">
        <v>27</v>
      </c>
      <c r="AS48" s="88">
        <v>28</v>
      </c>
      <c r="AT48" s="88">
        <v>29</v>
      </c>
      <c r="AU48" s="88">
        <v>30</v>
      </c>
      <c r="AV48" s="88">
        <v>31</v>
      </c>
      <c r="AW48" s="88">
        <v>32</v>
      </c>
      <c r="AX48" s="88">
        <v>33</v>
      </c>
      <c r="AY48" s="88">
        <v>34</v>
      </c>
      <c r="AZ48" s="88">
        <v>35</v>
      </c>
      <c r="BA48" s="88">
        <v>36</v>
      </c>
      <c r="BB48" s="88">
        <v>37</v>
      </c>
      <c r="BC48" s="88">
        <v>38</v>
      </c>
      <c r="BD48" s="88">
        <v>39</v>
      </c>
      <c r="BE48" s="88">
        <v>40</v>
      </c>
      <c r="BF48" s="88">
        <v>41</v>
      </c>
      <c r="BG48" s="88">
        <v>42</v>
      </c>
      <c r="BH48" s="88">
        <v>43</v>
      </c>
      <c r="BI48" s="88">
        <v>44</v>
      </c>
      <c r="BJ48" s="88">
        <v>45</v>
      </c>
      <c r="BK48" s="88">
        <v>46</v>
      </c>
      <c r="BL48" s="88">
        <v>47</v>
      </c>
      <c r="BM48" s="88">
        <v>48</v>
      </c>
      <c r="BN48" s="80"/>
    </row>
    <row r="49" spans="2:66" ht="18.75" x14ac:dyDescent="0.35">
      <c r="B49" s="196"/>
      <c r="C49" s="30"/>
      <c r="D49" s="41"/>
      <c r="E49" s="41"/>
      <c r="F49" s="132" t="s">
        <v>136</v>
      </c>
      <c r="G49" s="30"/>
      <c r="H49" s="83" t="s">
        <v>29</v>
      </c>
      <c r="I49" s="158"/>
      <c r="J49" s="80"/>
      <c r="K49" s="81"/>
      <c r="L49" s="82" t="s">
        <v>53</v>
      </c>
      <c r="M49" s="82" t="s">
        <v>102</v>
      </c>
      <c r="N49" s="82" t="s">
        <v>70</v>
      </c>
      <c r="O49" s="81"/>
      <c r="P49" s="30"/>
      <c r="Q49" s="83" t="s">
        <v>35</v>
      </c>
      <c r="R49" s="159"/>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1"/>
      <c r="BN49" s="80"/>
    </row>
    <row r="50" spans="2:66" ht="18.75" x14ac:dyDescent="0.35">
      <c r="B50" s="196"/>
      <c r="C50" s="30"/>
      <c r="D50" s="41"/>
      <c r="E50" s="41"/>
      <c r="F50" s="132"/>
      <c r="G50" s="30"/>
      <c r="H50" s="77"/>
      <c r="I50" s="77"/>
      <c r="J50" s="80"/>
      <c r="K50" s="81"/>
      <c r="L50" s="178">
        <f>ROUND(IF(SUM(R49:BM49)=0,1.05,MAX(N50,N50^2)),2)</f>
        <v>1.05</v>
      </c>
      <c r="M50" s="84">
        <f>ROUND(IF(SUM(R49:BM49)=0,SA_RLWP,SUMPRODUCT(R49:BM49,SA_PHH)/SUM(R50:BM50)),2)</f>
        <v>35.119999999999997</v>
      </c>
      <c r="N50" s="84">
        <f>ROUND(M50/SA_RLWP,2)</f>
        <v>1</v>
      </c>
      <c r="O50" s="81"/>
      <c r="P50" s="30"/>
      <c r="Q50" s="83" t="s">
        <v>36</v>
      </c>
      <c r="R50" s="162"/>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4"/>
      <c r="BN50" s="80"/>
    </row>
    <row r="51" spans="2:66" ht="18.75" x14ac:dyDescent="0.35">
      <c r="B51" s="196"/>
      <c r="C51" s="30"/>
      <c r="D51" s="41"/>
      <c r="E51" s="41"/>
      <c r="F51" s="132" t="s">
        <v>5</v>
      </c>
      <c r="G51" s="30"/>
      <c r="H51" s="83" t="s">
        <v>30</v>
      </c>
      <c r="I51" s="158"/>
      <c r="J51" s="80"/>
      <c r="K51" s="81"/>
      <c r="L51" s="46"/>
      <c r="M51" s="85"/>
      <c r="N51" s="85"/>
      <c r="O51" s="81"/>
      <c r="P51" s="30"/>
      <c r="Q51" s="83" t="s">
        <v>39</v>
      </c>
      <c r="R51" s="162"/>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4"/>
      <c r="BN51" s="80"/>
    </row>
    <row r="52" spans="2:66" ht="18.75" x14ac:dyDescent="0.35">
      <c r="B52" s="196"/>
      <c r="C52" s="30"/>
      <c r="D52" s="41"/>
      <c r="E52" s="41"/>
      <c r="F52" s="132" t="s">
        <v>6</v>
      </c>
      <c r="G52" s="30"/>
      <c r="H52" s="83" t="s">
        <v>31</v>
      </c>
      <c r="I52" s="158"/>
      <c r="J52" s="80"/>
      <c r="K52" s="81"/>
      <c r="L52" s="82" t="s">
        <v>54</v>
      </c>
      <c r="M52" s="82" t="s">
        <v>103</v>
      </c>
      <c r="N52" s="82" t="s">
        <v>71</v>
      </c>
      <c r="O52" s="81"/>
      <c r="P52" s="30"/>
      <c r="Q52" s="83" t="s">
        <v>40</v>
      </c>
      <c r="R52" s="162"/>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4"/>
      <c r="BN52" s="80"/>
    </row>
    <row r="53" spans="2:66" ht="18.75" x14ac:dyDescent="0.35">
      <c r="B53" s="196"/>
      <c r="C53" s="30"/>
      <c r="D53" s="41"/>
      <c r="E53" s="41"/>
      <c r="F53" s="132" t="s">
        <v>7</v>
      </c>
      <c r="G53" s="30"/>
      <c r="H53" s="83" t="s">
        <v>56</v>
      </c>
      <c r="I53" s="158"/>
      <c r="J53" s="80"/>
      <c r="K53" s="81"/>
      <c r="L53" s="178">
        <f>ROUND(IF(SUM(R56:BM56)=0,0.95,MAX(N53,N53^2)),2)</f>
        <v>0.95</v>
      </c>
      <c r="M53" s="84">
        <f>ROUND(IF(SUM(R56:BM56)=0,SA_RLWP,SUMPRODUCT(R56:BM56,SA_PHH)/SUM(R57:BM57)),2)</f>
        <v>35.119999999999997</v>
      </c>
      <c r="N53" s="84">
        <f>ROUND(M53/SA_RLWP,2)</f>
        <v>1</v>
      </c>
      <c r="O53" s="81"/>
      <c r="P53" s="30"/>
      <c r="Q53" s="83" t="s">
        <v>62</v>
      </c>
      <c r="R53" s="162"/>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4"/>
      <c r="BN53" s="80"/>
    </row>
    <row r="54" spans="2:66" ht="18.75" x14ac:dyDescent="0.35">
      <c r="B54" s="196"/>
      <c r="C54" s="30"/>
      <c r="D54" s="41"/>
      <c r="E54" s="41"/>
      <c r="F54" s="132"/>
      <c r="G54" s="30"/>
      <c r="H54" s="83" t="s">
        <v>57</v>
      </c>
      <c r="I54" s="158"/>
      <c r="J54" s="80"/>
      <c r="K54" s="81"/>
      <c r="L54" s="46"/>
      <c r="M54" s="85"/>
      <c r="N54" s="85"/>
      <c r="O54" s="81"/>
      <c r="P54" s="30"/>
      <c r="Q54" s="83" t="s">
        <v>63</v>
      </c>
      <c r="R54" s="162"/>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4"/>
      <c r="BN54" s="80"/>
    </row>
    <row r="55" spans="2:66" ht="18.75" x14ac:dyDescent="0.35">
      <c r="B55" s="196"/>
      <c r="C55" s="30"/>
      <c r="D55" s="41"/>
      <c r="E55" s="41"/>
      <c r="F55" s="132"/>
      <c r="G55" s="30"/>
      <c r="H55" s="83" t="s">
        <v>58</v>
      </c>
      <c r="I55" s="158"/>
      <c r="J55" s="80"/>
      <c r="K55" s="81"/>
      <c r="L55" s="82" t="s">
        <v>55</v>
      </c>
      <c r="M55" s="82" t="s">
        <v>104</v>
      </c>
      <c r="N55" s="82" t="s">
        <v>79</v>
      </c>
      <c r="O55" s="81"/>
      <c r="P55" s="30"/>
      <c r="Q55" s="83" t="s">
        <v>64</v>
      </c>
      <c r="R55" s="162"/>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4"/>
      <c r="BN55" s="80"/>
    </row>
    <row r="56" spans="2:66" ht="18.75" x14ac:dyDescent="0.35">
      <c r="B56" s="196"/>
      <c r="C56" s="30"/>
      <c r="D56" s="41"/>
      <c r="E56" s="41"/>
      <c r="F56" s="132" t="s">
        <v>137</v>
      </c>
      <c r="G56" s="30"/>
      <c r="H56" s="83" t="s">
        <v>32</v>
      </c>
      <c r="I56" s="158"/>
      <c r="J56" s="80"/>
      <c r="K56" s="81"/>
      <c r="L56" s="178">
        <f>ROUND(MAX(N56,N56^2),2)</f>
        <v>1</v>
      </c>
      <c r="M56" s="84">
        <f>ROUND(IF(SUM(R63:BM63)=0,SA_RLWP,SUMPRODUCT(R63:BM63,SA_PHH)/SUM(R63:BM63)),2)</f>
        <v>35.119999999999997</v>
      </c>
      <c r="N56" s="84">
        <f>ROUND(M56/SA_RLWP,2)</f>
        <v>1</v>
      </c>
      <c r="O56" s="81"/>
      <c r="P56" s="30"/>
      <c r="Q56" s="83" t="s">
        <v>37</v>
      </c>
      <c r="R56" s="162"/>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4"/>
      <c r="BN56" s="80"/>
    </row>
    <row r="57" spans="2:66" ht="18.75" x14ac:dyDescent="0.35">
      <c r="B57" s="196"/>
      <c r="C57" s="30"/>
      <c r="D57" s="41"/>
      <c r="E57" s="41"/>
      <c r="F57" s="132"/>
      <c r="G57" s="30"/>
      <c r="H57" s="77"/>
      <c r="I57" s="77"/>
      <c r="J57" s="80"/>
      <c r="K57" s="81"/>
      <c r="L57" s="46"/>
      <c r="M57" s="85"/>
      <c r="N57" s="85"/>
      <c r="O57" s="81"/>
      <c r="P57" s="30"/>
      <c r="Q57" s="83" t="s">
        <v>38</v>
      </c>
      <c r="R57" s="162"/>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4"/>
      <c r="BN57" s="80"/>
    </row>
    <row r="58" spans="2:66" ht="18.75" x14ac:dyDescent="0.35">
      <c r="B58" s="196"/>
      <c r="C58" s="30"/>
      <c r="D58" s="41"/>
      <c r="E58" s="41"/>
      <c r="F58" s="132" t="s">
        <v>8</v>
      </c>
      <c r="G58" s="30"/>
      <c r="H58" s="83" t="s">
        <v>33</v>
      </c>
      <c r="I58" s="158"/>
      <c r="J58" s="80"/>
      <c r="K58" s="81"/>
      <c r="L58" s="82" t="s">
        <v>85</v>
      </c>
      <c r="M58" s="82" t="s">
        <v>105</v>
      </c>
      <c r="N58" s="82" t="s">
        <v>83</v>
      </c>
      <c r="O58" s="81"/>
      <c r="P58" s="30"/>
      <c r="Q58" s="83" t="s">
        <v>41</v>
      </c>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4"/>
      <c r="BN58" s="80"/>
    </row>
    <row r="59" spans="2:66" ht="18.75" x14ac:dyDescent="0.35">
      <c r="B59" s="196"/>
      <c r="C59" s="30"/>
      <c r="D59" s="41"/>
      <c r="E59" s="41"/>
      <c r="F59" s="132" t="s">
        <v>9</v>
      </c>
      <c r="G59" s="30"/>
      <c r="H59" s="83" t="s">
        <v>34</v>
      </c>
      <c r="I59" s="158"/>
      <c r="J59" s="80"/>
      <c r="K59" s="81"/>
      <c r="L59" s="178">
        <f>ROUND(MAX(N59,N59^2),2)</f>
        <v>1</v>
      </c>
      <c r="M59" s="84">
        <f>ROUND(IF(SUM(R64:BM64)=0,SA_RLWPC100,SUMPRODUCT(R64:BM64,SA_PHHC100)/SUM(R64:BM64)),2)</f>
        <v>31.52</v>
      </c>
      <c r="N59" s="84">
        <f>ROUND(M59/SA_RLWPC100,2)</f>
        <v>1</v>
      </c>
      <c r="O59" s="81"/>
      <c r="P59" s="30"/>
      <c r="Q59" s="83" t="s">
        <v>42</v>
      </c>
      <c r="R59" s="162"/>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4"/>
      <c r="BN59" s="80"/>
    </row>
    <row r="60" spans="2:66" ht="18.75" x14ac:dyDescent="0.35">
      <c r="B60" s="196"/>
      <c r="C60" s="30"/>
      <c r="D60" s="41"/>
      <c r="E60" s="41"/>
      <c r="F60" s="132" t="s">
        <v>10</v>
      </c>
      <c r="G60" s="30"/>
      <c r="H60" s="83" t="s">
        <v>59</v>
      </c>
      <c r="I60" s="158"/>
      <c r="J60" s="80"/>
      <c r="K60" s="81"/>
      <c r="L60" s="2"/>
      <c r="O60" s="81"/>
      <c r="P60" s="30"/>
      <c r="Q60" s="83" t="s">
        <v>65</v>
      </c>
      <c r="R60" s="162"/>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4"/>
      <c r="BN60" s="80"/>
    </row>
    <row r="61" spans="2:66" ht="18.75" x14ac:dyDescent="0.35">
      <c r="B61" s="196"/>
      <c r="C61" s="30"/>
      <c r="D61" s="41"/>
      <c r="E61" s="41"/>
      <c r="F61" s="132"/>
      <c r="G61" s="30"/>
      <c r="H61" s="83" t="s">
        <v>60</v>
      </c>
      <c r="I61" s="158"/>
      <c r="J61" s="80"/>
      <c r="K61" s="81"/>
      <c r="L61" s="82" t="s">
        <v>82</v>
      </c>
      <c r="M61" s="82" t="s">
        <v>106</v>
      </c>
      <c r="N61" s="82" t="s">
        <v>84</v>
      </c>
      <c r="O61" s="81"/>
      <c r="P61" s="30"/>
      <c r="Q61" s="83" t="s">
        <v>66</v>
      </c>
      <c r="R61" s="162"/>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4"/>
      <c r="BN61" s="80"/>
    </row>
    <row r="62" spans="2:66" ht="18.75" x14ac:dyDescent="0.35">
      <c r="B62" s="196"/>
      <c r="C62" s="30"/>
      <c r="D62" s="41"/>
      <c r="E62" s="41"/>
      <c r="F62" s="132"/>
      <c r="G62" s="30"/>
      <c r="H62" s="83" t="s">
        <v>61</v>
      </c>
      <c r="I62" s="158"/>
      <c r="J62" s="80"/>
      <c r="K62" s="81"/>
      <c r="L62" s="178">
        <f>ROUND(MAX(N62,N62^2),2)</f>
        <v>1</v>
      </c>
      <c r="M62" s="84">
        <f>ROUND(IF(SUM(R65:BM65)=0,SA_RLWPC200,SUMPRODUCT(R65:BM65,SA_PHHC200)/SUM(R65:BM65)),2)</f>
        <v>32.119999999999997</v>
      </c>
      <c r="N62" s="84">
        <f>ROUND(M62/SA_RLWPC200,2)</f>
        <v>1</v>
      </c>
      <c r="O62" s="81"/>
      <c r="P62" s="30"/>
      <c r="Q62" s="83" t="s">
        <v>67</v>
      </c>
      <c r="R62" s="162"/>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4"/>
      <c r="BN62" s="80"/>
    </row>
    <row r="63" spans="2:66" x14ac:dyDescent="0.25">
      <c r="B63" s="196"/>
      <c r="C63" s="30"/>
      <c r="D63" s="41"/>
      <c r="E63" s="41"/>
      <c r="F63" s="132"/>
      <c r="G63" s="30"/>
      <c r="H63" s="41"/>
      <c r="I63" s="41"/>
      <c r="J63" s="80"/>
      <c r="K63" s="81"/>
      <c r="L63" s="2"/>
      <c r="O63" s="81"/>
      <c r="P63" s="30"/>
      <c r="Q63" s="113" t="s">
        <v>68</v>
      </c>
      <c r="R63" s="114">
        <f>SUM(R51:R52)-SUM(R58:R59)</f>
        <v>0</v>
      </c>
      <c r="S63" s="115">
        <f t="shared" ref="S63:BM63" si="8">SUM(S51:S52)-SUM(S58:S59)</f>
        <v>0</v>
      </c>
      <c r="T63" s="115">
        <f t="shared" si="8"/>
        <v>0</v>
      </c>
      <c r="U63" s="115">
        <f t="shared" si="8"/>
        <v>0</v>
      </c>
      <c r="V63" s="115">
        <f t="shared" si="8"/>
        <v>0</v>
      </c>
      <c r="W63" s="115">
        <f t="shared" si="8"/>
        <v>0</v>
      </c>
      <c r="X63" s="115">
        <f t="shared" si="8"/>
        <v>0</v>
      </c>
      <c r="Y63" s="115">
        <f t="shared" si="8"/>
        <v>0</v>
      </c>
      <c r="Z63" s="115">
        <f t="shared" si="8"/>
        <v>0</v>
      </c>
      <c r="AA63" s="115">
        <f t="shared" si="8"/>
        <v>0</v>
      </c>
      <c r="AB63" s="115">
        <f t="shared" si="8"/>
        <v>0</v>
      </c>
      <c r="AC63" s="115">
        <f t="shared" si="8"/>
        <v>0</v>
      </c>
      <c r="AD63" s="115">
        <f t="shared" si="8"/>
        <v>0</v>
      </c>
      <c r="AE63" s="115">
        <f t="shared" si="8"/>
        <v>0</v>
      </c>
      <c r="AF63" s="115">
        <f t="shared" si="8"/>
        <v>0</v>
      </c>
      <c r="AG63" s="115">
        <f t="shared" si="8"/>
        <v>0</v>
      </c>
      <c r="AH63" s="115">
        <f t="shared" si="8"/>
        <v>0</v>
      </c>
      <c r="AI63" s="115">
        <f t="shared" si="8"/>
        <v>0</v>
      </c>
      <c r="AJ63" s="115">
        <f t="shared" si="8"/>
        <v>0</v>
      </c>
      <c r="AK63" s="115">
        <f t="shared" si="8"/>
        <v>0</v>
      </c>
      <c r="AL63" s="115">
        <f t="shared" si="8"/>
        <v>0</v>
      </c>
      <c r="AM63" s="115">
        <f t="shared" si="8"/>
        <v>0</v>
      </c>
      <c r="AN63" s="115">
        <f t="shared" si="8"/>
        <v>0</v>
      </c>
      <c r="AO63" s="115">
        <f t="shared" si="8"/>
        <v>0</v>
      </c>
      <c r="AP63" s="115">
        <f t="shared" si="8"/>
        <v>0</v>
      </c>
      <c r="AQ63" s="115">
        <f t="shared" si="8"/>
        <v>0</v>
      </c>
      <c r="AR63" s="115">
        <f t="shared" si="8"/>
        <v>0</v>
      </c>
      <c r="AS63" s="115">
        <f t="shared" si="8"/>
        <v>0</v>
      </c>
      <c r="AT63" s="115">
        <f t="shared" si="8"/>
        <v>0</v>
      </c>
      <c r="AU63" s="115">
        <f t="shared" si="8"/>
        <v>0</v>
      </c>
      <c r="AV63" s="115">
        <f t="shared" si="8"/>
        <v>0</v>
      </c>
      <c r="AW63" s="115">
        <f t="shared" si="8"/>
        <v>0</v>
      </c>
      <c r="AX63" s="115">
        <f t="shared" si="8"/>
        <v>0</v>
      </c>
      <c r="AY63" s="115">
        <f t="shared" si="8"/>
        <v>0</v>
      </c>
      <c r="AZ63" s="115">
        <f t="shared" si="8"/>
        <v>0</v>
      </c>
      <c r="BA63" s="115">
        <f t="shared" si="8"/>
        <v>0</v>
      </c>
      <c r="BB63" s="115">
        <f t="shared" si="8"/>
        <v>0</v>
      </c>
      <c r="BC63" s="115">
        <f t="shared" si="8"/>
        <v>0</v>
      </c>
      <c r="BD63" s="115">
        <f t="shared" si="8"/>
        <v>0</v>
      </c>
      <c r="BE63" s="115">
        <f t="shared" si="8"/>
        <v>0</v>
      </c>
      <c r="BF63" s="115">
        <f t="shared" si="8"/>
        <v>0</v>
      </c>
      <c r="BG63" s="115">
        <f t="shared" si="8"/>
        <v>0</v>
      </c>
      <c r="BH63" s="115">
        <f t="shared" si="8"/>
        <v>0</v>
      </c>
      <c r="BI63" s="115">
        <f t="shared" si="8"/>
        <v>0</v>
      </c>
      <c r="BJ63" s="115">
        <f t="shared" si="8"/>
        <v>0</v>
      </c>
      <c r="BK63" s="115">
        <f t="shared" si="8"/>
        <v>0</v>
      </c>
      <c r="BL63" s="115">
        <f t="shared" si="8"/>
        <v>0</v>
      </c>
      <c r="BM63" s="116">
        <f t="shared" si="8"/>
        <v>0</v>
      </c>
      <c r="BN63" s="80"/>
    </row>
    <row r="64" spans="2:66" ht="18.75" x14ac:dyDescent="0.35">
      <c r="B64" s="196"/>
      <c r="C64" s="30"/>
      <c r="D64" s="113" t="s">
        <v>143</v>
      </c>
      <c r="E64" s="157">
        <v>0</v>
      </c>
      <c r="F64" s="132"/>
      <c r="G64" s="30"/>
      <c r="H64" s="83" t="s">
        <v>43</v>
      </c>
      <c r="I64" s="158">
        <v>0</v>
      </c>
      <c r="J64" s="80"/>
      <c r="K64" s="81"/>
      <c r="L64" s="82" t="s">
        <v>81</v>
      </c>
      <c r="M64" s="82" t="s">
        <v>107</v>
      </c>
      <c r="N64" s="82" t="s">
        <v>80</v>
      </c>
      <c r="O64" s="81"/>
      <c r="P64" s="30"/>
      <c r="Q64" s="113" t="s">
        <v>69</v>
      </c>
      <c r="R64" s="114">
        <f>R53-R60</f>
        <v>0</v>
      </c>
      <c r="S64" s="115">
        <f t="shared" ref="S64:BM64" si="9">S53-S60</f>
        <v>0</v>
      </c>
      <c r="T64" s="115">
        <f t="shared" si="9"/>
        <v>0</v>
      </c>
      <c r="U64" s="115">
        <f t="shared" si="9"/>
        <v>0</v>
      </c>
      <c r="V64" s="115">
        <f t="shared" si="9"/>
        <v>0</v>
      </c>
      <c r="W64" s="115">
        <f t="shared" si="9"/>
        <v>0</v>
      </c>
      <c r="X64" s="115">
        <f t="shared" si="9"/>
        <v>0</v>
      </c>
      <c r="Y64" s="115">
        <f t="shared" si="9"/>
        <v>0</v>
      </c>
      <c r="Z64" s="115">
        <f t="shared" si="9"/>
        <v>0</v>
      </c>
      <c r="AA64" s="115">
        <f t="shared" si="9"/>
        <v>0</v>
      </c>
      <c r="AB64" s="115">
        <f t="shared" si="9"/>
        <v>0</v>
      </c>
      <c r="AC64" s="115">
        <f t="shared" si="9"/>
        <v>0</v>
      </c>
      <c r="AD64" s="115">
        <f t="shared" si="9"/>
        <v>0</v>
      </c>
      <c r="AE64" s="115">
        <f t="shared" si="9"/>
        <v>0</v>
      </c>
      <c r="AF64" s="115">
        <f t="shared" si="9"/>
        <v>0</v>
      </c>
      <c r="AG64" s="115">
        <f t="shared" si="9"/>
        <v>0</v>
      </c>
      <c r="AH64" s="115">
        <f t="shared" si="9"/>
        <v>0</v>
      </c>
      <c r="AI64" s="115">
        <f t="shared" si="9"/>
        <v>0</v>
      </c>
      <c r="AJ64" s="115">
        <f t="shared" si="9"/>
        <v>0</v>
      </c>
      <c r="AK64" s="115">
        <f t="shared" si="9"/>
        <v>0</v>
      </c>
      <c r="AL64" s="115">
        <f t="shared" si="9"/>
        <v>0</v>
      </c>
      <c r="AM64" s="115">
        <f t="shared" si="9"/>
        <v>0</v>
      </c>
      <c r="AN64" s="115">
        <f t="shared" si="9"/>
        <v>0</v>
      </c>
      <c r="AO64" s="115">
        <f t="shared" si="9"/>
        <v>0</v>
      </c>
      <c r="AP64" s="115">
        <f t="shared" si="9"/>
        <v>0</v>
      </c>
      <c r="AQ64" s="115">
        <f t="shared" si="9"/>
        <v>0</v>
      </c>
      <c r="AR64" s="115">
        <f t="shared" si="9"/>
        <v>0</v>
      </c>
      <c r="AS64" s="115">
        <f t="shared" si="9"/>
        <v>0</v>
      </c>
      <c r="AT64" s="115">
        <f t="shared" si="9"/>
        <v>0</v>
      </c>
      <c r="AU64" s="115">
        <f t="shared" si="9"/>
        <v>0</v>
      </c>
      <c r="AV64" s="115">
        <f t="shared" si="9"/>
        <v>0</v>
      </c>
      <c r="AW64" s="115">
        <f t="shared" si="9"/>
        <v>0</v>
      </c>
      <c r="AX64" s="115">
        <f t="shared" si="9"/>
        <v>0</v>
      </c>
      <c r="AY64" s="115">
        <f t="shared" si="9"/>
        <v>0</v>
      </c>
      <c r="AZ64" s="115">
        <f t="shared" si="9"/>
        <v>0</v>
      </c>
      <c r="BA64" s="115">
        <f t="shared" si="9"/>
        <v>0</v>
      </c>
      <c r="BB64" s="115">
        <f t="shared" si="9"/>
        <v>0</v>
      </c>
      <c r="BC64" s="115">
        <f t="shared" si="9"/>
        <v>0</v>
      </c>
      <c r="BD64" s="115">
        <f t="shared" si="9"/>
        <v>0</v>
      </c>
      <c r="BE64" s="115">
        <f t="shared" si="9"/>
        <v>0</v>
      </c>
      <c r="BF64" s="115">
        <f t="shared" si="9"/>
        <v>0</v>
      </c>
      <c r="BG64" s="115">
        <f t="shared" si="9"/>
        <v>0</v>
      </c>
      <c r="BH64" s="115">
        <f t="shared" si="9"/>
        <v>0</v>
      </c>
      <c r="BI64" s="115">
        <f t="shared" si="9"/>
        <v>0</v>
      </c>
      <c r="BJ64" s="115">
        <f t="shared" si="9"/>
        <v>0</v>
      </c>
      <c r="BK64" s="115">
        <f t="shared" si="9"/>
        <v>0</v>
      </c>
      <c r="BL64" s="115">
        <f t="shared" si="9"/>
        <v>0</v>
      </c>
      <c r="BM64" s="116">
        <f t="shared" si="9"/>
        <v>0</v>
      </c>
      <c r="BN64" s="80"/>
    </row>
    <row r="65" spans="2:66" ht="18.75" x14ac:dyDescent="0.35">
      <c r="B65" s="196"/>
      <c r="C65" s="30"/>
      <c r="D65" s="113" t="s">
        <v>144</v>
      </c>
      <c r="E65" s="157">
        <v>0</v>
      </c>
      <c r="F65" s="132"/>
      <c r="G65" s="30"/>
      <c r="H65" s="83" t="s">
        <v>44</v>
      </c>
      <c r="I65" s="158">
        <v>0</v>
      </c>
      <c r="J65" s="80"/>
      <c r="K65" s="81"/>
      <c r="L65" s="178">
        <f>ROUND(MAX(N65,N65^2),2)</f>
        <v>1</v>
      </c>
      <c r="M65" s="84">
        <f>ROUND(IF(SUM(R66:BM66)=0,SA_RLWPC300,SUMPRODUCT(R66:BM66,SA_PHHC300)/SUM(R66:BM66)),2)</f>
        <v>32.380000000000003</v>
      </c>
      <c r="N65" s="84">
        <f>ROUND(M65/SA_RLWPC300,2)</f>
        <v>1</v>
      </c>
      <c r="O65" s="81"/>
      <c r="P65" s="30"/>
      <c r="Q65" s="113" t="s">
        <v>86</v>
      </c>
      <c r="R65" s="114">
        <f t="shared" ref="R65:BM65" si="10">R54-R61</f>
        <v>0</v>
      </c>
      <c r="S65" s="115">
        <f t="shared" si="10"/>
        <v>0</v>
      </c>
      <c r="T65" s="115">
        <f t="shared" si="10"/>
        <v>0</v>
      </c>
      <c r="U65" s="115">
        <f t="shared" si="10"/>
        <v>0</v>
      </c>
      <c r="V65" s="115">
        <f t="shared" si="10"/>
        <v>0</v>
      </c>
      <c r="W65" s="115">
        <f t="shared" si="10"/>
        <v>0</v>
      </c>
      <c r="X65" s="115">
        <f t="shared" si="10"/>
        <v>0</v>
      </c>
      <c r="Y65" s="115">
        <f t="shared" si="10"/>
        <v>0</v>
      </c>
      <c r="Z65" s="115">
        <f t="shared" si="10"/>
        <v>0</v>
      </c>
      <c r="AA65" s="115">
        <f t="shared" si="10"/>
        <v>0</v>
      </c>
      <c r="AB65" s="115">
        <f t="shared" si="10"/>
        <v>0</v>
      </c>
      <c r="AC65" s="115">
        <f t="shared" si="10"/>
        <v>0</v>
      </c>
      <c r="AD65" s="115">
        <f t="shared" si="10"/>
        <v>0</v>
      </c>
      <c r="AE65" s="115">
        <f t="shared" si="10"/>
        <v>0</v>
      </c>
      <c r="AF65" s="115">
        <f t="shared" si="10"/>
        <v>0</v>
      </c>
      <c r="AG65" s="115">
        <f t="shared" si="10"/>
        <v>0</v>
      </c>
      <c r="AH65" s="115">
        <f t="shared" si="10"/>
        <v>0</v>
      </c>
      <c r="AI65" s="115">
        <f t="shared" si="10"/>
        <v>0</v>
      </c>
      <c r="AJ65" s="115">
        <f t="shared" si="10"/>
        <v>0</v>
      </c>
      <c r="AK65" s="115">
        <f t="shared" si="10"/>
        <v>0</v>
      </c>
      <c r="AL65" s="115">
        <f t="shared" si="10"/>
        <v>0</v>
      </c>
      <c r="AM65" s="115">
        <f t="shared" si="10"/>
        <v>0</v>
      </c>
      <c r="AN65" s="115">
        <f t="shared" si="10"/>
        <v>0</v>
      </c>
      <c r="AO65" s="115">
        <f t="shared" si="10"/>
        <v>0</v>
      </c>
      <c r="AP65" s="115">
        <f t="shared" si="10"/>
        <v>0</v>
      </c>
      <c r="AQ65" s="115">
        <f t="shared" si="10"/>
        <v>0</v>
      </c>
      <c r="AR65" s="115">
        <f t="shared" si="10"/>
        <v>0</v>
      </c>
      <c r="AS65" s="115">
        <f t="shared" si="10"/>
        <v>0</v>
      </c>
      <c r="AT65" s="115">
        <f t="shared" si="10"/>
        <v>0</v>
      </c>
      <c r="AU65" s="115">
        <f t="shared" si="10"/>
        <v>0</v>
      </c>
      <c r="AV65" s="115">
        <f t="shared" si="10"/>
        <v>0</v>
      </c>
      <c r="AW65" s="115">
        <f t="shared" si="10"/>
        <v>0</v>
      </c>
      <c r="AX65" s="115">
        <f t="shared" si="10"/>
        <v>0</v>
      </c>
      <c r="AY65" s="115">
        <f t="shared" si="10"/>
        <v>0</v>
      </c>
      <c r="AZ65" s="115">
        <f t="shared" si="10"/>
        <v>0</v>
      </c>
      <c r="BA65" s="115">
        <f t="shared" si="10"/>
        <v>0</v>
      </c>
      <c r="BB65" s="115">
        <f t="shared" si="10"/>
        <v>0</v>
      </c>
      <c r="BC65" s="115">
        <f t="shared" si="10"/>
        <v>0</v>
      </c>
      <c r="BD65" s="115">
        <f t="shared" si="10"/>
        <v>0</v>
      </c>
      <c r="BE65" s="115">
        <f t="shared" si="10"/>
        <v>0</v>
      </c>
      <c r="BF65" s="115">
        <f t="shared" si="10"/>
        <v>0</v>
      </c>
      <c r="BG65" s="115">
        <f t="shared" si="10"/>
        <v>0</v>
      </c>
      <c r="BH65" s="115">
        <f t="shared" si="10"/>
        <v>0</v>
      </c>
      <c r="BI65" s="115">
        <f t="shared" si="10"/>
        <v>0</v>
      </c>
      <c r="BJ65" s="115">
        <f t="shared" si="10"/>
        <v>0</v>
      </c>
      <c r="BK65" s="115">
        <f t="shared" si="10"/>
        <v>0</v>
      </c>
      <c r="BL65" s="115">
        <f t="shared" si="10"/>
        <v>0</v>
      </c>
      <c r="BM65" s="116">
        <f t="shared" si="10"/>
        <v>0</v>
      </c>
      <c r="BN65" s="80"/>
    </row>
    <row r="66" spans="2:66" x14ac:dyDescent="0.25">
      <c r="B66" s="196"/>
      <c r="C66" s="30"/>
      <c r="D66" s="41"/>
      <c r="E66" s="41"/>
      <c r="F66" s="132"/>
      <c r="G66" s="30"/>
      <c r="H66" s="41"/>
      <c r="I66" s="41"/>
      <c r="J66" s="80"/>
      <c r="K66" s="81"/>
      <c r="L66" s="2"/>
      <c r="O66" s="81"/>
      <c r="P66" s="30"/>
      <c r="Q66" s="113" t="s">
        <v>87</v>
      </c>
      <c r="R66" s="117">
        <f>R55-R62</f>
        <v>0</v>
      </c>
      <c r="S66" s="118">
        <f t="shared" ref="S66:BM66" si="11">S55-S62</f>
        <v>0</v>
      </c>
      <c r="T66" s="118">
        <f t="shared" si="11"/>
        <v>0</v>
      </c>
      <c r="U66" s="118">
        <f t="shared" si="11"/>
        <v>0</v>
      </c>
      <c r="V66" s="118">
        <f t="shared" si="11"/>
        <v>0</v>
      </c>
      <c r="W66" s="118">
        <f t="shared" si="11"/>
        <v>0</v>
      </c>
      <c r="X66" s="118">
        <f t="shared" si="11"/>
        <v>0</v>
      </c>
      <c r="Y66" s="118">
        <f t="shared" si="11"/>
        <v>0</v>
      </c>
      <c r="Z66" s="118">
        <f t="shared" si="11"/>
        <v>0</v>
      </c>
      <c r="AA66" s="118">
        <f t="shared" si="11"/>
        <v>0</v>
      </c>
      <c r="AB66" s="118">
        <f t="shared" si="11"/>
        <v>0</v>
      </c>
      <c r="AC66" s="118">
        <f t="shared" si="11"/>
        <v>0</v>
      </c>
      <c r="AD66" s="118">
        <f t="shared" si="11"/>
        <v>0</v>
      </c>
      <c r="AE66" s="118">
        <f t="shared" si="11"/>
        <v>0</v>
      </c>
      <c r="AF66" s="118">
        <f t="shared" si="11"/>
        <v>0</v>
      </c>
      <c r="AG66" s="118">
        <f t="shared" si="11"/>
        <v>0</v>
      </c>
      <c r="AH66" s="118">
        <f t="shared" si="11"/>
        <v>0</v>
      </c>
      <c r="AI66" s="118">
        <f t="shared" si="11"/>
        <v>0</v>
      </c>
      <c r="AJ66" s="118">
        <f t="shared" si="11"/>
        <v>0</v>
      </c>
      <c r="AK66" s="118">
        <f t="shared" si="11"/>
        <v>0</v>
      </c>
      <c r="AL66" s="118">
        <f t="shared" si="11"/>
        <v>0</v>
      </c>
      <c r="AM66" s="118">
        <f t="shared" si="11"/>
        <v>0</v>
      </c>
      <c r="AN66" s="118">
        <f t="shared" si="11"/>
        <v>0</v>
      </c>
      <c r="AO66" s="118">
        <f t="shared" si="11"/>
        <v>0</v>
      </c>
      <c r="AP66" s="118">
        <f t="shared" si="11"/>
        <v>0</v>
      </c>
      <c r="AQ66" s="118">
        <f t="shared" si="11"/>
        <v>0</v>
      </c>
      <c r="AR66" s="118">
        <f t="shared" si="11"/>
        <v>0</v>
      </c>
      <c r="AS66" s="118">
        <f t="shared" si="11"/>
        <v>0</v>
      </c>
      <c r="AT66" s="118">
        <f t="shared" si="11"/>
        <v>0</v>
      </c>
      <c r="AU66" s="118">
        <f t="shared" si="11"/>
        <v>0</v>
      </c>
      <c r="AV66" s="118">
        <f t="shared" si="11"/>
        <v>0</v>
      </c>
      <c r="AW66" s="118">
        <f t="shared" si="11"/>
        <v>0</v>
      </c>
      <c r="AX66" s="118">
        <f t="shared" si="11"/>
        <v>0</v>
      </c>
      <c r="AY66" s="118">
        <f t="shared" si="11"/>
        <v>0</v>
      </c>
      <c r="AZ66" s="118">
        <f t="shared" si="11"/>
        <v>0</v>
      </c>
      <c r="BA66" s="118">
        <f t="shared" si="11"/>
        <v>0</v>
      </c>
      <c r="BB66" s="118">
        <f t="shared" si="11"/>
        <v>0</v>
      </c>
      <c r="BC66" s="118">
        <f t="shared" si="11"/>
        <v>0</v>
      </c>
      <c r="BD66" s="118">
        <f t="shared" si="11"/>
        <v>0</v>
      </c>
      <c r="BE66" s="118">
        <f t="shared" si="11"/>
        <v>0</v>
      </c>
      <c r="BF66" s="118">
        <f t="shared" si="11"/>
        <v>0</v>
      </c>
      <c r="BG66" s="118">
        <f t="shared" si="11"/>
        <v>0</v>
      </c>
      <c r="BH66" s="118">
        <f t="shared" si="11"/>
        <v>0</v>
      </c>
      <c r="BI66" s="118">
        <f t="shared" si="11"/>
        <v>0</v>
      </c>
      <c r="BJ66" s="118">
        <f t="shared" si="11"/>
        <v>0</v>
      </c>
      <c r="BK66" s="118">
        <f t="shared" si="11"/>
        <v>0</v>
      </c>
      <c r="BL66" s="118">
        <f t="shared" si="11"/>
        <v>0</v>
      </c>
      <c r="BM66" s="119">
        <f t="shared" si="11"/>
        <v>0</v>
      </c>
      <c r="BN66" s="80"/>
    </row>
    <row r="67" spans="2:66" ht="5.25" customHeight="1" x14ac:dyDescent="0.25">
      <c r="B67" s="197"/>
      <c r="C67" s="130"/>
      <c r="D67" s="55"/>
      <c r="E67" s="55"/>
      <c r="F67" s="78"/>
      <c r="G67" s="72"/>
      <c r="H67" s="73"/>
      <c r="I67" s="73"/>
      <c r="J67" s="87"/>
      <c r="K67" s="86"/>
      <c r="L67" s="121"/>
      <c r="M67" s="86"/>
      <c r="N67" s="86"/>
      <c r="O67" s="86"/>
      <c r="P67" s="72"/>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7"/>
    </row>
    <row r="68" spans="2:66" ht="5.25" customHeight="1" x14ac:dyDescent="0.5">
      <c r="B68" s="195" t="s">
        <v>3</v>
      </c>
      <c r="C68" s="129"/>
      <c r="D68" s="133"/>
      <c r="E68" s="133"/>
      <c r="F68" s="131"/>
      <c r="G68" s="68"/>
      <c r="H68" s="125"/>
      <c r="I68" s="69"/>
      <c r="J68" s="38"/>
      <c r="K68" s="37"/>
      <c r="L68" s="36"/>
      <c r="M68" s="37"/>
      <c r="N68" s="37"/>
      <c r="O68" s="37"/>
      <c r="P68" s="126"/>
      <c r="Q68" s="127"/>
      <c r="R68" s="37"/>
      <c r="S68" s="37"/>
      <c r="T68" s="37"/>
      <c r="U68" s="128"/>
      <c r="V68" s="37"/>
      <c r="W68" s="37"/>
      <c r="X68" s="37"/>
      <c r="Y68" s="128"/>
      <c r="Z68" s="37"/>
      <c r="AA68" s="37"/>
      <c r="AB68" s="37"/>
      <c r="AC68" s="128"/>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8"/>
    </row>
    <row r="69" spans="2:66" ht="16.5" customHeight="1" x14ac:dyDescent="0.25">
      <c r="B69" s="196"/>
      <c r="C69" s="30"/>
      <c r="D69" s="41"/>
      <c r="E69" s="41"/>
      <c r="F69" s="132"/>
      <c r="G69" s="30"/>
      <c r="H69" s="70" t="s">
        <v>11</v>
      </c>
      <c r="I69" s="71"/>
      <c r="J69" s="80"/>
      <c r="K69" s="81"/>
      <c r="L69" s="2"/>
      <c r="O69" s="81"/>
      <c r="P69" s="75"/>
      <c r="Q69" s="74" t="s">
        <v>78</v>
      </c>
      <c r="R69" s="88">
        <v>1</v>
      </c>
      <c r="S69" s="88">
        <v>2</v>
      </c>
      <c r="T69" s="88">
        <v>3</v>
      </c>
      <c r="U69" s="88">
        <v>4</v>
      </c>
      <c r="V69" s="88">
        <v>5</v>
      </c>
      <c r="W69" s="88">
        <v>6</v>
      </c>
      <c r="X69" s="88">
        <v>7</v>
      </c>
      <c r="Y69" s="88">
        <v>8</v>
      </c>
      <c r="Z69" s="88">
        <v>9</v>
      </c>
      <c r="AA69" s="88">
        <v>10</v>
      </c>
      <c r="AB69" s="88">
        <v>11</v>
      </c>
      <c r="AC69" s="88">
        <v>12</v>
      </c>
      <c r="AD69" s="88">
        <v>13</v>
      </c>
      <c r="AE69" s="88">
        <v>14</v>
      </c>
      <c r="AF69" s="88">
        <v>15</v>
      </c>
      <c r="AG69" s="88">
        <v>16</v>
      </c>
      <c r="AH69" s="88">
        <v>17</v>
      </c>
      <c r="AI69" s="88">
        <v>18</v>
      </c>
      <c r="AJ69" s="88">
        <v>19</v>
      </c>
      <c r="AK69" s="88">
        <v>20</v>
      </c>
      <c r="AL69" s="88">
        <v>21</v>
      </c>
      <c r="AM69" s="88">
        <v>22</v>
      </c>
      <c r="AN69" s="88">
        <v>23</v>
      </c>
      <c r="AO69" s="88">
        <v>24</v>
      </c>
      <c r="AP69" s="88">
        <v>25</v>
      </c>
      <c r="AQ69" s="88">
        <v>26</v>
      </c>
      <c r="AR69" s="88">
        <v>27</v>
      </c>
      <c r="AS69" s="88">
        <v>28</v>
      </c>
      <c r="AT69" s="88">
        <v>29</v>
      </c>
      <c r="AU69" s="88">
        <v>30</v>
      </c>
      <c r="AV69" s="88">
        <v>31</v>
      </c>
      <c r="AW69" s="88">
        <v>32</v>
      </c>
      <c r="AX69" s="88">
        <v>33</v>
      </c>
      <c r="AY69" s="88">
        <v>34</v>
      </c>
      <c r="AZ69" s="88">
        <v>35</v>
      </c>
      <c r="BA69" s="88">
        <v>36</v>
      </c>
      <c r="BB69" s="88">
        <v>37</v>
      </c>
      <c r="BC69" s="88">
        <v>38</v>
      </c>
      <c r="BD69" s="88">
        <v>39</v>
      </c>
      <c r="BE69" s="88">
        <v>40</v>
      </c>
      <c r="BF69" s="88">
        <v>41</v>
      </c>
      <c r="BG69" s="88">
        <v>42</v>
      </c>
      <c r="BH69" s="88">
        <v>43</v>
      </c>
      <c r="BI69" s="88">
        <v>44</v>
      </c>
      <c r="BJ69" s="88">
        <v>45</v>
      </c>
      <c r="BK69" s="88">
        <v>46</v>
      </c>
      <c r="BL69" s="88">
        <v>47</v>
      </c>
      <c r="BM69" s="88">
        <v>48</v>
      </c>
      <c r="BN69" s="80"/>
    </row>
    <row r="70" spans="2:66" ht="18.75" x14ac:dyDescent="0.35">
      <c r="B70" s="196"/>
      <c r="C70" s="30"/>
      <c r="D70" s="41"/>
      <c r="E70" s="41"/>
      <c r="F70" s="132" t="s">
        <v>136</v>
      </c>
      <c r="G70" s="30"/>
      <c r="H70" s="83" t="s">
        <v>29</v>
      </c>
      <c r="I70" s="158"/>
      <c r="J70" s="80"/>
      <c r="K70" s="81"/>
      <c r="L70" s="82" t="s">
        <v>53</v>
      </c>
      <c r="M70" s="82" t="s">
        <v>102</v>
      </c>
      <c r="N70" s="82" t="s">
        <v>70</v>
      </c>
      <c r="O70" s="81"/>
      <c r="P70" s="30"/>
      <c r="Q70" s="83" t="s">
        <v>35</v>
      </c>
      <c r="R70" s="159"/>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1"/>
      <c r="BN70" s="80"/>
    </row>
    <row r="71" spans="2:66" ht="18.75" x14ac:dyDescent="0.35">
      <c r="B71" s="196"/>
      <c r="C71" s="30"/>
      <c r="D71" s="41"/>
      <c r="E71" s="41"/>
      <c r="F71" s="132"/>
      <c r="G71" s="30"/>
      <c r="H71" s="77"/>
      <c r="I71" s="77"/>
      <c r="J71" s="80"/>
      <c r="K71" s="81"/>
      <c r="L71" s="178">
        <f>ROUND(IF(SUM(R70:BM70)=0,1.05,MAX(N71,N71^2)),2)</f>
        <v>1.05</v>
      </c>
      <c r="M71" s="84">
        <f>ROUND(IF(SUM(R70:BM70)=0,TAS_RLWP,SUMPRODUCT(R70:BM70,TAS_PHH)/SUM(R71:BM71)),2)</f>
        <v>37.950000000000003</v>
      </c>
      <c r="N71" s="84">
        <f>ROUND(M71/TAS_RLWP,2)</f>
        <v>1</v>
      </c>
      <c r="O71" s="81"/>
      <c r="P71" s="30"/>
      <c r="Q71" s="83" t="s">
        <v>36</v>
      </c>
      <c r="R71" s="162"/>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4"/>
      <c r="BN71" s="80"/>
    </row>
    <row r="72" spans="2:66" ht="18.75" x14ac:dyDescent="0.35">
      <c r="B72" s="196"/>
      <c r="C72" s="30"/>
      <c r="D72" s="41"/>
      <c r="E72" s="41"/>
      <c r="F72" s="132" t="s">
        <v>5</v>
      </c>
      <c r="G72" s="30"/>
      <c r="H72" s="83" t="s">
        <v>30</v>
      </c>
      <c r="I72" s="158"/>
      <c r="J72" s="80"/>
      <c r="K72" s="81"/>
      <c r="L72" s="46"/>
      <c r="M72" s="85"/>
      <c r="N72" s="85"/>
      <c r="O72" s="81"/>
      <c r="P72" s="30"/>
      <c r="Q72" s="83" t="s">
        <v>39</v>
      </c>
      <c r="R72" s="162"/>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4"/>
      <c r="BN72" s="80"/>
    </row>
    <row r="73" spans="2:66" ht="18.75" x14ac:dyDescent="0.35">
      <c r="B73" s="196"/>
      <c r="C73" s="30"/>
      <c r="D73" s="41"/>
      <c r="E73" s="41"/>
      <c r="F73" s="132" t="s">
        <v>6</v>
      </c>
      <c r="G73" s="30"/>
      <c r="H73" s="83" t="s">
        <v>31</v>
      </c>
      <c r="I73" s="158"/>
      <c r="J73" s="80"/>
      <c r="K73" s="81"/>
      <c r="L73" s="82" t="s">
        <v>54</v>
      </c>
      <c r="M73" s="82" t="s">
        <v>103</v>
      </c>
      <c r="N73" s="82" t="s">
        <v>71</v>
      </c>
      <c r="O73" s="81"/>
      <c r="P73" s="30"/>
      <c r="Q73" s="83" t="s">
        <v>40</v>
      </c>
      <c r="R73" s="162"/>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4"/>
      <c r="BN73" s="80"/>
    </row>
    <row r="74" spans="2:66" ht="18.75" x14ac:dyDescent="0.35">
      <c r="B74" s="196"/>
      <c r="C74" s="30"/>
      <c r="D74" s="41"/>
      <c r="E74" s="41"/>
      <c r="F74" s="132" t="s">
        <v>7</v>
      </c>
      <c r="G74" s="30"/>
      <c r="H74" s="83" t="s">
        <v>56</v>
      </c>
      <c r="I74" s="158"/>
      <c r="J74" s="80"/>
      <c r="K74" s="81"/>
      <c r="L74" s="178">
        <f>ROUND(IF(SUM(R77:BM77)=0,0.95,MAX(N74,N74^2)),2)</f>
        <v>0.95</v>
      </c>
      <c r="M74" s="84">
        <f>ROUND(IF(SUM(R77:BM77)=0,TAS_RLWP,SUMPRODUCT(R77:BM77,TAS_PHH)/SUM(R78:BM78)),2)</f>
        <v>37.950000000000003</v>
      </c>
      <c r="N74" s="84">
        <f>ROUND(M74/TAS_RLWP,2)</f>
        <v>1</v>
      </c>
      <c r="O74" s="81"/>
      <c r="P74" s="30"/>
      <c r="Q74" s="83" t="s">
        <v>62</v>
      </c>
      <c r="R74" s="162"/>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4"/>
      <c r="BN74" s="80"/>
    </row>
    <row r="75" spans="2:66" ht="18.75" x14ac:dyDescent="0.35">
      <c r="B75" s="196"/>
      <c r="C75" s="30"/>
      <c r="D75" s="41"/>
      <c r="E75" s="41"/>
      <c r="F75" s="132"/>
      <c r="G75" s="30"/>
      <c r="H75" s="83" t="s">
        <v>57</v>
      </c>
      <c r="I75" s="158"/>
      <c r="J75" s="80"/>
      <c r="K75" s="81"/>
      <c r="L75" s="46"/>
      <c r="M75" s="85"/>
      <c r="N75" s="85"/>
      <c r="O75" s="81"/>
      <c r="P75" s="30"/>
      <c r="Q75" s="83" t="s">
        <v>63</v>
      </c>
      <c r="R75" s="162"/>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3"/>
      <c r="BK75" s="163"/>
      <c r="BL75" s="163"/>
      <c r="BM75" s="164"/>
      <c r="BN75" s="80"/>
    </row>
    <row r="76" spans="2:66" ht="18.75" x14ac:dyDescent="0.35">
      <c r="B76" s="196"/>
      <c r="C76" s="30"/>
      <c r="D76" s="41"/>
      <c r="E76" s="41"/>
      <c r="F76" s="132"/>
      <c r="G76" s="30"/>
      <c r="H76" s="83" t="s">
        <v>58</v>
      </c>
      <c r="I76" s="158"/>
      <c r="J76" s="80"/>
      <c r="K76" s="81"/>
      <c r="L76" s="82" t="s">
        <v>55</v>
      </c>
      <c r="M76" s="82" t="s">
        <v>104</v>
      </c>
      <c r="N76" s="82" t="s">
        <v>79</v>
      </c>
      <c r="O76" s="81"/>
      <c r="P76" s="30"/>
      <c r="Q76" s="83" t="s">
        <v>64</v>
      </c>
      <c r="R76" s="162"/>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c r="BM76" s="164"/>
      <c r="BN76" s="80"/>
    </row>
    <row r="77" spans="2:66" ht="18.75" x14ac:dyDescent="0.35">
      <c r="B77" s="196"/>
      <c r="C77" s="30"/>
      <c r="D77" s="41"/>
      <c r="E77" s="41"/>
      <c r="F77" s="132" t="s">
        <v>137</v>
      </c>
      <c r="G77" s="30"/>
      <c r="H77" s="83" t="s">
        <v>32</v>
      </c>
      <c r="I77" s="158"/>
      <c r="J77" s="80"/>
      <c r="K77" s="81"/>
      <c r="L77" s="178">
        <f>ROUND(MAX(N77,N77^2),2)</f>
        <v>1</v>
      </c>
      <c r="M77" s="84">
        <f>ROUND(IF(SUM(R84:BM84)=0,TAS_RLWP,SUMPRODUCT(R84:BM84,TAS_PHH)/SUM(R84:BM84)),2)</f>
        <v>37.950000000000003</v>
      </c>
      <c r="N77" s="84">
        <f>ROUND(M77/TAS_RLWP,2)</f>
        <v>1</v>
      </c>
      <c r="O77" s="81"/>
      <c r="P77" s="30"/>
      <c r="Q77" s="83" t="s">
        <v>37</v>
      </c>
      <c r="R77" s="162"/>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4"/>
      <c r="BN77" s="80"/>
    </row>
    <row r="78" spans="2:66" ht="18.75" x14ac:dyDescent="0.35">
      <c r="B78" s="196"/>
      <c r="C78" s="30"/>
      <c r="D78" s="41"/>
      <c r="E78" s="41"/>
      <c r="F78" s="132"/>
      <c r="G78" s="30"/>
      <c r="H78" s="77"/>
      <c r="I78" s="77"/>
      <c r="J78" s="80"/>
      <c r="K78" s="81"/>
      <c r="L78" s="46"/>
      <c r="M78" s="85"/>
      <c r="N78" s="85"/>
      <c r="O78" s="81"/>
      <c r="P78" s="30"/>
      <c r="Q78" s="83" t="s">
        <v>38</v>
      </c>
      <c r="R78" s="162"/>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4"/>
      <c r="BN78" s="80"/>
    </row>
    <row r="79" spans="2:66" ht="18.75" x14ac:dyDescent="0.35">
      <c r="B79" s="196"/>
      <c r="C79" s="30"/>
      <c r="D79" s="41"/>
      <c r="E79" s="41"/>
      <c r="F79" s="132" t="s">
        <v>8</v>
      </c>
      <c r="G79" s="30"/>
      <c r="H79" s="83" t="s">
        <v>33</v>
      </c>
      <c r="I79" s="158"/>
      <c r="J79" s="80"/>
      <c r="K79" s="81"/>
      <c r="L79" s="82" t="s">
        <v>85</v>
      </c>
      <c r="M79" s="82" t="s">
        <v>105</v>
      </c>
      <c r="N79" s="82" t="s">
        <v>83</v>
      </c>
      <c r="O79" s="81"/>
      <c r="P79" s="30"/>
      <c r="Q79" s="83" t="s">
        <v>41</v>
      </c>
      <c r="R79" s="162"/>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4"/>
      <c r="BN79" s="80"/>
    </row>
    <row r="80" spans="2:66" ht="18.75" x14ac:dyDescent="0.35">
      <c r="B80" s="196"/>
      <c r="C80" s="30"/>
      <c r="D80" s="41"/>
      <c r="E80" s="41"/>
      <c r="F80" s="132" t="s">
        <v>9</v>
      </c>
      <c r="G80" s="30"/>
      <c r="H80" s="83" t="s">
        <v>34</v>
      </c>
      <c r="I80" s="158"/>
      <c r="J80" s="80"/>
      <c r="K80" s="81"/>
      <c r="L80" s="178">
        <f>ROUND(MAX(N80,N80^2),2)</f>
        <v>1</v>
      </c>
      <c r="M80" s="84">
        <f>ROUND(IF(SUM(R85:BM85)=0,TAS_RLWPC100,SUMPRODUCT(R85:BM85,TAS_PHHC100)/SUM(R85:BM85)),2)</f>
        <v>35.83</v>
      </c>
      <c r="N80" s="84">
        <f>ROUND(M80/TAS_RLWPC100,2)</f>
        <v>1</v>
      </c>
      <c r="O80" s="81"/>
      <c r="P80" s="30"/>
      <c r="Q80" s="83" t="s">
        <v>42</v>
      </c>
      <c r="R80" s="162"/>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4"/>
      <c r="BN80" s="80"/>
    </row>
    <row r="81" spans="2:66" ht="18.75" x14ac:dyDescent="0.35">
      <c r="B81" s="196"/>
      <c r="C81" s="30"/>
      <c r="D81" s="41"/>
      <c r="E81" s="41"/>
      <c r="F81" s="132" t="s">
        <v>10</v>
      </c>
      <c r="G81" s="30"/>
      <c r="H81" s="83" t="s">
        <v>59</v>
      </c>
      <c r="I81" s="158"/>
      <c r="J81" s="80"/>
      <c r="K81" s="81"/>
      <c r="L81" s="2"/>
      <c r="O81" s="81"/>
      <c r="P81" s="30"/>
      <c r="Q81" s="83" t="s">
        <v>65</v>
      </c>
      <c r="R81" s="162"/>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4"/>
      <c r="BN81" s="80"/>
    </row>
    <row r="82" spans="2:66" ht="18.75" x14ac:dyDescent="0.35">
      <c r="B82" s="196"/>
      <c r="C82" s="30"/>
      <c r="D82" s="41"/>
      <c r="E82" s="41"/>
      <c r="F82" s="132"/>
      <c r="G82" s="30"/>
      <c r="H82" s="83" t="s">
        <v>60</v>
      </c>
      <c r="I82" s="158"/>
      <c r="J82" s="80"/>
      <c r="K82" s="81"/>
      <c r="L82" s="82" t="s">
        <v>82</v>
      </c>
      <c r="M82" s="82" t="s">
        <v>106</v>
      </c>
      <c r="N82" s="82" t="s">
        <v>84</v>
      </c>
      <c r="O82" s="81"/>
      <c r="P82" s="30"/>
      <c r="Q82" s="83" t="s">
        <v>66</v>
      </c>
      <c r="R82" s="162"/>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4"/>
      <c r="BN82" s="80"/>
    </row>
    <row r="83" spans="2:66" ht="18.75" x14ac:dyDescent="0.35">
      <c r="B83" s="196"/>
      <c r="C83" s="30"/>
      <c r="D83" s="41"/>
      <c r="E83" s="41"/>
      <c r="F83" s="132"/>
      <c r="G83" s="30"/>
      <c r="H83" s="83" t="s">
        <v>61</v>
      </c>
      <c r="I83" s="158"/>
      <c r="J83" s="80"/>
      <c r="K83" s="81"/>
      <c r="L83" s="178">
        <f>ROUND(MAX(N83,N83^2),2)</f>
        <v>1</v>
      </c>
      <c r="M83" s="84">
        <f>ROUND(IF(SUM(R86:BM86)=0,TAS_RLWPC200,SUMPRODUCT(R86:BM86,TAS_PHHC200)/SUM(R86:BM86)),2)</f>
        <v>36.31</v>
      </c>
      <c r="N83" s="84">
        <f>ROUND(M83/TAS_RLWPC200,2)</f>
        <v>1</v>
      </c>
      <c r="O83" s="81"/>
      <c r="P83" s="30"/>
      <c r="Q83" s="83" t="s">
        <v>67</v>
      </c>
      <c r="R83" s="162"/>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4"/>
      <c r="BN83" s="80"/>
    </row>
    <row r="84" spans="2:66" x14ac:dyDescent="0.25">
      <c r="B84" s="196"/>
      <c r="C84" s="30"/>
      <c r="D84" s="41"/>
      <c r="E84" s="41"/>
      <c r="F84" s="132"/>
      <c r="G84" s="30"/>
      <c r="H84" s="41"/>
      <c r="I84" s="41"/>
      <c r="J84" s="80"/>
      <c r="K84" s="81"/>
      <c r="L84" s="2"/>
      <c r="O84" s="81"/>
      <c r="P84" s="30"/>
      <c r="Q84" s="113" t="s">
        <v>68</v>
      </c>
      <c r="R84" s="114">
        <f>SUM(R72:R73)-SUM(R79:R80)</f>
        <v>0</v>
      </c>
      <c r="S84" s="115">
        <f t="shared" ref="S84:BM84" si="12">SUM(S72:S73)-SUM(S79:S80)</f>
        <v>0</v>
      </c>
      <c r="T84" s="115">
        <f t="shared" si="12"/>
        <v>0</v>
      </c>
      <c r="U84" s="115">
        <f t="shared" si="12"/>
        <v>0</v>
      </c>
      <c r="V84" s="115">
        <f t="shared" si="12"/>
        <v>0</v>
      </c>
      <c r="W84" s="115">
        <f t="shared" si="12"/>
        <v>0</v>
      </c>
      <c r="X84" s="115">
        <f t="shared" si="12"/>
        <v>0</v>
      </c>
      <c r="Y84" s="115">
        <f t="shared" si="12"/>
        <v>0</v>
      </c>
      <c r="Z84" s="115">
        <f t="shared" si="12"/>
        <v>0</v>
      </c>
      <c r="AA84" s="115">
        <f t="shared" si="12"/>
        <v>0</v>
      </c>
      <c r="AB84" s="115">
        <f t="shared" si="12"/>
        <v>0</v>
      </c>
      <c r="AC84" s="115">
        <f t="shared" si="12"/>
        <v>0</v>
      </c>
      <c r="AD84" s="115">
        <f t="shared" si="12"/>
        <v>0</v>
      </c>
      <c r="AE84" s="115">
        <f t="shared" si="12"/>
        <v>0</v>
      </c>
      <c r="AF84" s="115">
        <f t="shared" si="12"/>
        <v>0</v>
      </c>
      <c r="AG84" s="115">
        <f t="shared" si="12"/>
        <v>0</v>
      </c>
      <c r="AH84" s="115">
        <f t="shared" si="12"/>
        <v>0</v>
      </c>
      <c r="AI84" s="115">
        <f t="shared" si="12"/>
        <v>0</v>
      </c>
      <c r="AJ84" s="115">
        <f t="shared" si="12"/>
        <v>0</v>
      </c>
      <c r="AK84" s="115">
        <f t="shared" si="12"/>
        <v>0</v>
      </c>
      <c r="AL84" s="115">
        <f t="shared" si="12"/>
        <v>0</v>
      </c>
      <c r="AM84" s="115">
        <f t="shared" si="12"/>
        <v>0</v>
      </c>
      <c r="AN84" s="115">
        <f t="shared" si="12"/>
        <v>0</v>
      </c>
      <c r="AO84" s="115">
        <f t="shared" si="12"/>
        <v>0</v>
      </c>
      <c r="AP84" s="115">
        <f t="shared" si="12"/>
        <v>0</v>
      </c>
      <c r="AQ84" s="115">
        <f t="shared" si="12"/>
        <v>0</v>
      </c>
      <c r="AR84" s="115">
        <f t="shared" si="12"/>
        <v>0</v>
      </c>
      <c r="AS84" s="115">
        <f t="shared" si="12"/>
        <v>0</v>
      </c>
      <c r="AT84" s="115">
        <f t="shared" si="12"/>
        <v>0</v>
      </c>
      <c r="AU84" s="115">
        <f t="shared" si="12"/>
        <v>0</v>
      </c>
      <c r="AV84" s="115">
        <f t="shared" si="12"/>
        <v>0</v>
      </c>
      <c r="AW84" s="115">
        <f t="shared" si="12"/>
        <v>0</v>
      </c>
      <c r="AX84" s="115">
        <f t="shared" si="12"/>
        <v>0</v>
      </c>
      <c r="AY84" s="115">
        <f t="shared" si="12"/>
        <v>0</v>
      </c>
      <c r="AZ84" s="115">
        <f t="shared" si="12"/>
        <v>0</v>
      </c>
      <c r="BA84" s="115">
        <f t="shared" si="12"/>
        <v>0</v>
      </c>
      <c r="BB84" s="115">
        <f t="shared" si="12"/>
        <v>0</v>
      </c>
      <c r="BC84" s="115">
        <f t="shared" si="12"/>
        <v>0</v>
      </c>
      <c r="BD84" s="115">
        <f t="shared" si="12"/>
        <v>0</v>
      </c>
      <c r="BE84" s="115">
        <f t="shared" si="12"/>
        <v>0</v>
      </c>
      <c r="BF84" s="115">
        <f t="shared" si="12"/>
        <v>0</v>
      </c>
      <c r="BG84" s="115">
        <f t="shared" si="12"/>
        <v>0</v>
      </c>
      <c r="BH84" s="115">
        <f t="shared" si="12"/>
        <v>0</v>
      </c>
      <c r="BI84" s="115">
        <f t="shared" si="12"/>
        <v>0</v>
      </c>
      <c r="BJ84" s="115">
        <f t="shared" si="12"/>
        <v>0</v>
      </c>
      <c r="BK84" s="115">
        <f t="shared" si="12"/>
        <v>0</v>
      </c>
      <c r="BL84" s="115">
        <f t="shared" si="12"/>
        <v>0</v>
      </c>
      <c r="BM84" s="116">
        <f t="shared" si="12"/>
        <v>0</v>
      </c>
      <c r="BN84" s="80"/>
    </row>
    <row r="85" spans="2:66" ht="18.75" x14ac:dyDescent="0.35">
      <c r="B85" s="196"/>
      <c r="C85" s="30"/>
      <c r="D85" s="113" t="s">
        <v>143</v>
      </c>
      <c r="E85" s="157">
        <v>0</v>
      </c>
      <c r="F85" s="132"/>
      <c r="G85" s="30"/>
      <c r="H85" s="83" t="s">
        <v>43</v>
      </c>
      <c r="I85" s="158">
        <v>0</v>
      </c>
      <c r="J85" s="80"/>
      <c r="K85" s="81"/>
      <c r="L85" s="82" t="s">
        <v>81</v>
      </c>
      <c r="M85" s="82" t="s">
        <v>107</v>
      </c>
      <c r="N85" s="82" t="s">
        <v>80</v>
      </c>
      <c r="O85" s="81"/>
      <c r="P85" s="30"/>
      <c r="Q85" s="113" t="s">
        <v>69</v>
      </c>
      <c r="R85" s="114">
        <f>R74-R81</f>
        <v>0</v>
      </c>
      <c r="S85" s="115">
        <f t="shared" ref="S85:BM85" si="13">S74-S81</f>
        <v>0</v>
      </c>
      <c r="T85" s="115">
        <f t="shared" si="13"/>
        <v>0</v>
      </c>
      <c r="U85" s="115">
        <f t="shared" si="13"/>
        <v>0</v>
      </c>
      <c r="V85" s="115">
        <f t="shared" si="13"/>
        <v>0</v>
      </c>
      <c r="W85" s="115">
        <f t="shared" si="13"/>
        <v>0</v>
      </c>
      <c r="X85" s="115">
        <f t="shared" si="13"/>
        <v>0</v>
      </c>
      <c r="Y85" s="115">
        <f t="shared" si="13"/>
        <v>0</v>
      </c>
      <c r="Z85" s="115">
        <f t="shared" si="13"/>
        <v>0</v>
      </c>
      <c r="AA85" s="115">
        <f t="shared" si="13"/>
        <v>0</v>
      </c>
      <c r="AB85" s="115">
        <f t="shared" si="13"/>
        <v>0</v>
      </c>
      <c r="AC85" s="115">
        <f t="shared" si="13"/>
        <v>0</v>
      </c>
      <c r="AD85" s="115">
        <f t="shared" si="13"/>
        <v>0</v>
      </c>
      <c r="AE85" s="115">
        <f t="shared" si="13"/>
        <v>0</v>
      </c>
      <c r="AF85" s="115">
        <f t="shared" si="13"/>
        <v>0</v>
      </c>
      <c r="AG85" s="115">
        <f t="shared" si="13"/>
        <v>0</v>
      </c>
      <c r="AH85" s="115">
        <f t="shared" si="13"/>
        <v>0</v>
      </c>
      <c r="AI85" s="115">
        <f t="shared" si="13"/>
        <v>0</v>
      </c>
      <c r="AJ85" s="115">
        <f t="shared" si="13"/>
        <v>0</v>
      </c>
      <c r="AK85" s="115">
        <f t="shared" si="13"/>
        <v>0</v>
      </c>
      <c r="AL85" s="115">
        <f t="shared" si="13"/>
        <v>0</v>
      </c>
      <c r="AM85" s="115">
        <f t="shared" si="13"/>
        <v>0</v>
      </c>
      <c r="AN85" s="115">
        <f t="shared" si="13"/>
        <v>0</v>
      </c>
      <c r="AO85" s="115">
        <f t="shared" si="13"/>
        <v>0</v>
      </c>
      <c r="AP85" s="115">
        <f t="shared" si="13"/>
        <v>0</v>
      </c>
      <c r="AQ85" s="115">
        <f t="shared" si="13"/>
        <v>0</v>
      </c>
      <c r="AR85" s="115">
        <f t="shared" si="13"/>
        <v>0</v>
      </c>
      <c r="AS85" s="115">
        <f t="shared" si="13"/>
        <v>0</v>
      </c>
      <c r="AT85" s="115">
        <f t="shared" si="13"/>
        <v>0</v>
      </c>
      <c r="AU85" s="115">
        <f t="shared" si="13"/>
        <v>0</v>
      </c>
      <c r="AV85" s="115">
        <f t="shared" si="13"/>
        <v>0</v>
      </c>
      <c r="AW85" s="115">
        <f t="shared" si="13"/>
        <v>0</v>
      </c>
      <c r="AX85" s="115">
        <f t="shared" si="13"/>
        <v>0</v>
      </c>
      <c r="AY85" s="115">
        <f t="shared" si="13"/>
        <v>0</v>
      </c>
      <c r="AZ85" s="115">
        <f t="shared" si="13"/>
        <v>0</v>
      </c>
      <c r="BA85" s="115">
        <f t="shared" si="13"/>
        <v>0</v>
      </c>
      <c r="BB85" s="115">
        <f t="shared" si="13"/>
        <v>0</v>
      </c>
      <c r="BC85" s="115">
        <f t="shared" si="13"/>
        <v>0</v>
      </c>
      <c r="BD85" s="115">
        <f t="shared" si="13"/>
        <v>0</v>
      </c>
      <c r="BE85" s="115">
        <f t="shared" si="13"/>
        <v>0</v>
      </c>
      <c r="BF85" s="115">
        <f t="shared" si="13"/>
        <v>0</v>
      </c>
      <c r="BG85" s="115">
        <f t="shared" si="13"/>
        <v>0</v>
      </c>
      <c r="BH85" s="115">
        <f t="shared" si="13"/>
        <v>0</v>
      </c>
      <c r="BI85" s="115">
        <f t="shared" si="13"/>
        <v>0</v>
      </c>
      <c r="BJ85" s="115">
        <f t="shared" si="13"/>
        <v>0</v>
      </c>
      <c r="BK85" s="115">
        <f t="shared" si="13"/>
        <v>0</v>
      </c>
      <c r="BL85" s="115">
        <f t="shared" si="13"/>
        <v>0</v>
      </c>
      <c r="BM85" s="116">
        <f t="shared" si="13"/>
        <v>0</v>
      </c>
      <c r="BN85" s="80"/>
    </row>
    <row r="86" spans="2:66" ht="18.75" x14ac:dyDescent="0.35">
      <c r="B86" s="196"/>
      <c r="C86" s="30"/>
      <c r="D86" s="113" t="s">
        <v>144</v>
      </c>
      <c r="E86" s="157">
        <v>0</v>
      </c>
      <c r="F86" s="132"/>
      <c r="G86" s="30"/>
      <c r="H86" s="83" t="s">
        <v>44</v>
      </c>
      <c r="I86" s="158">
        <v>0</v>
      </c>
      <c r="J86" s="80"/>
      <c r="K86" s="81"/>
      <c r="L86" s="178">
        <f>ROUND(MAX(N86,N86^2),2)</f>
        <v>1</v>
      </c>
      <c r="M86" s="84">
        <f>ROUND(IF(SUM(R87:BM87)=0,TAS_RLWPC300,SUMPRODUCT(R87:BM87,TAS_PHHC300)/SUM(R87:BM87)),2)</f>
        <v>36.5</v>
      </c>
      <c r="N86" s="84">
        <f>ROUND(M86/TAS_RLWPC300,2)</f>
        <v>1</v>
      </c>
      <c r="O86" s="81"/>
      <c r="P86" s="30"/>
      <c r="Q86" s="113" t="s">
        <v>86</v>
      </c>
      <c r="R86" s="114">
        <f t="shared" ref="R86:BM86" si="14">R75-R82</f>
        <v>0</v>
      </c>
      <c r="S86" s="115">
        <f t="shared" si="14"/>
        <v>0</v>
      </c>
      <c r="T86" s="115">
        <f t="shared" si="14"/>
        <v>0</v>
      </c>
      <c r="U86" s="115">
        <f t="shared" si="14"/>
        <v>0</v>
      </c>
      <c r="V86" s="115">
        <f t="shared" si="14"/>
        <v>0</v>
      </c>
      <c r="W86" s="115">
        <f t="shared" si="14"/>
        <v>0</v>
      </c>
      <c r="X86" s="115">
        <f t="shared" si="14"/>
        <v>0</v>
      </c>
      <c r="Y86" s="115">
        <f t="shared" si="14"/>
        <v>0</v>
      </c>
      <c r="Z86" s="115">
        <f t="shared" si="14"/>
        <v>0</v>
      </c>
      <c r="AA86" s="115">
        <f t="shared" si="14"/>
        <v>0</v>
      </c>
      <c r="AB86" s="115">
        <f t="shared" si="14"/>
        <v>0</v>
      </c>
      <c r="AC86" s="115">
        <f t="shared" si="14"/>
        <v>0</v>
      </c>
      <c r="AD86" s="115">
        <f t="shared" si="14"/>
        <v>0</v>
      </c>
      <c r="AE86" s="115">
        <f t="shared" si="14"/>
        <v>0</v>
      </c>
      <c r="AF86" s="115">
        <f t="shared" si="14"/>
        <v>0</v>
      </c>
      <c r="AG86" s="115">
        <f t="shared" si="14"/>
        <v>0</v>
      </c>
      <c r="AH86" s="115">
        <f t="shared" si="14"/>
        <v>0</v>
      </c>
      <c r="AI86" s="115">
        <f t="shared" si="14"/>
        <v>0</v>
      </c>
      <c r="AJ86" s="115">
        <f t="shared" si="14"/>
        <v>0</v>
      </c>
      <c r="AK86" s="115">
        <f t="shared" si="14"/>
        <v>0</v>
      </c>
      <c r="AL86" s="115">
        <f t="shared" si="14"/>
        <v>0</v>
      </c>
      <c r="AM86" s="115">
        <f t="shared" si="14"/>
        <v>0</v>
      </c>
      <c r="AN86" s="115">
        <f t="shared" si="14"/>
        <v>0</v>
      </c>
      <c r="AO86" s="115">
        <f t="shared" si="14"/>
        <v>0</v>
      </c>
      <c r="AP86" s="115">
        <f t="shared" si="14"/>
        <v>0</v>
      </c>
      <c r="AQ86" s="115">
        <f t="shared" si="14"/>
        <v>0</v>
      </c>
      <c r="AR86" s="115">
        <f t="shared" si="14"/>
        <v>0</v>
      </c>
      <c r="AS86" s="115">
        <f t="shared" si="14"/>
        <v>0</v>
      </c>
      <c r="AT86" s="115">
        <f t="shared" si="14"/>
        <v>0</v>
      </c>
      <c r="AU86" s="115">
        <f t="shared" si="14"/>
        <v>0</v>
      </c>
      <c r="AV86" s="115">
        <f t="shared" si="14"/>
        <v>0</v>
      </c>
      <c r="AW86" s="115">
        <f t="shared" si="14"/>
        <v>0</v>
      </c>
      <c r="AX86" s="115">
        <f t="shared" si="14"/>
        <v>0</v>
      </c>
      <c r="AY86" s="115">
        <f t="shared" si="14"/>
        <v>0</v>
      </c>
      <c r="AZ86" s="115">
        <f t="shared" si="14"/>
        <v>0</v>
      </c>
      <c r="BA86" s="115">
        <f t="shared" si="14"/>
        <v>0</v>
      </c>
      <c r="BB86" s="115">
        <f t="shared" si="14"/>
        <v>0</v>
      </c>
      <c r="BC86" s="115">
        <f t="shared" si="14"/>
        <v>0</v>
      </c>
      <c r="BD86" s="115">
        <f t="shared" si="14"/>
        <v>0</v>
      </c>
      <c r="BE86" s="115">
        <f t="shared" si="14"/>
        <v>0</v>
      </c>
      <c r="BF86" s="115">
        <f t="shared" si="14"/>
        <v>0</v>
      </c>
      <c r="BG86" s="115">
        <f t="shared" si="14"/>
        <v>0</v>
      </c>
      <c r="BH86" s="115">
        <f t="shared" si="14"/>
        <v>0</v>
      </c>
      <c r="BI86" s="115">
        <f t="shared" si="14"/>
        <v>0</v>
      </c>
      <c r="BJ86" s="115">
        <f t="shared" si="14"/>
        <v>0</v>
      </c>
      <c r="BK86" s="115">
        <f t="shared" si="14"/>
        <v>0</v>
      </c>
      <c r="BL86" s="115">
        <f t="shared" si="14"/>
        <v>0</v>
      </c>
      <c r="BM86" s="116">
        <f t="shared" si="14"/>
        <v>0</v>
      </c>
      <c r="BN86" s="80"/>
    </row>
    <row r="87" spans="2:66" x14ac:dyDescent="0.25">
      <c r="B87" s="196"/>
      <c r="C87" s="30"/>
      <c r="D87" s="41"/>
      <c r="E87" s="41"/>
      <c r="F87" s="132"/>
      <c r="G87" s="30"/>
      <c r="H87" s="41"/>
      <c r="I87" s="41"/>
      <c r="J87" s="80"/>
      <c r="K87" s="81"/>
      <c r="L87" s="2"/>
      <c r="O87" s="81"/>
      <c r="P87" s="30"/>
      <c r="Q87" s="113" t="s">
        <v>87</v>
      </c>
      <c r="R87" s="117">
        <f>R76-R83</f>
        <v>0</v>
      </c>
      <c r="S87" s="118">
        <f t="shared" ref="S87:BM87" si="15">S76-S83</f>
        <v>0</v>
      </c>
      <c r="T87" s="118">
        <f t="shared" si="15"/>
        <v>0</v>
      </c>
      <c r="U87" s="118">
        <f t="shared" si="15"/>
        <v>0</v>
      </c>
      <c r="V87" s="118">
        <f t="shared" si="15"/>
        <v>0</v>
      </c>
      <c r="W87" s="118">
        <f t="shared" si="15"/>
        <v>0</v>
      </c>
      <c r="X87" s="118">
        <f t="shared" si="15"/>
        <v>0</v>
      </c>
      <c r="Y87" s="118">
        <f t="shared" si="15"/>
        <v>0</v>
      </c>
      <c r="Z87" s="118">
        <f t="shared" si="15"/>
        <v>0</v>
      </c>
      <c r="AA87" s="118">
        <f t="shared" si="15"/>
        <v>0</v>
      </c>
      <c r="AB87" s="118">
        <f t="shared" si="15"/>
        <v>0</v>
      </c>
      <c r="AC87" s="118">
        <f t="shared" si="15"/>
        <v>0</v>
      </c>
      <c r="AD87" s="118">
        <f t="shared" si="15"/>
        <v>0</v>
      </c>
      <c r="AE87" s="118">
        <f t="shared" si="15"/>
        <v>0</v>
      </c>
      <c r="AF87" s="118">
        <f t="shared" si="15"/>
        <v>0</v>
      </c>
      <c r="AG87" s="118">
        <f t="shared" si="15"/>
        <v>0</v>
      </c>
      <c r="AH87" s="118">
        <f t="shared" si="15"/>
        <v>0</v>
      </c>
      <c r="AI87" s="118">
        <f t="shared" si="15"/>
        <v>0</v>
      </c>
      <c r="AJ87" s="118">
        <f t="shared" si="15"/>
        <v>0</v>
      </c>
      <c r="AK87" s="118">
        <f t="shared" si="15"/>
        <v>0</v>
      </c>
      <c r="AL87" s="118">
        <f t="shared" si="15"/>
        <v>0</v>
      </c>
      <c r="AM87" s="118">
        <f t="shared" si="15"/>
        <v>0</v>
      </c>
      <c r="AN87" s="118">
        <f t="shared" si="15"/>
        <v>0</v>
      </c>
      <c r="AO87" s="118">
        <f t="shared" si="15"/>
        <v>0</v>
      </c>
      <c r="AP87" s="118">
        <f t="shared" si="15"/>
        <v>0</v>
      </c>
      <c r="AQ87" s="118">
        <f t="shared" si="15"/>
        <v>0</v>
      </c>
      <c r="AR87" s="118">
        <f t="shared" si="15"/>
        <v>0</v>
      </c>
      <c r="AS87" s="118">
        <f t="shared" si="15"/>
        <v>0</v>
      </c>
      <c r="AT87" s="118">
        <f t="shared" si="15"/>
        <v>0</v>
      </c>
      <c r="AU87" s="118">
        <f t="shared" si="15"/>
        <v>0</v>
      </c>
      <c r="AV87" s="118">
        <f t="shared" si="15"/>
        <v>0</v>
      </c>
      <c r="AW87" s="118">
        <f t="shared" si="15"/>
        <v>0</v>
      </c>
      <c r="AX87" s="118">
        <f t="shared" si="15"/>
        <v>0</v>
      </c>
      <c r="AY87" s="118">
        <f t="shared" si="15"/>
        <v>0</v>
      </c>
      <c r="AZ87" s="118">
        <f t="shared" si="15"/>
        <v>0</v>
      </c>
      <c r="BA87" s="118">
        <f t="shared" si="15"/>
        <v>0</v>
      </c>
      <c r="BB87" s="118">
        <f t="shared" si="15"/>
        <v>0</v>
      </c>
      <c r="BC87" s="118">
        <f t="shared" si="15"/>
        <v>0</v>
      </c>
      <c r="BD87" s="118">
        <f t="shared" si="15"/>
        <v>0</v>
      </c>
      <c r="BE87" s="118">
        <f t="shared" si="15"/>
        <v>0</v>
      </c>
      <c r="BF87" s="118">
        <f t="shared" si="15"/>
        <v>0</v>
      </c>
      <c r="BG87" s="118">
        <f t="shared" si="15"/>
        <v>0</v>
      </c>
      <c r="BH87" s="118">
        <f t="shared" si="15"/>
        <v>0</v>
      </c>
      <c r="BI87" s="118">
        <f t="shared" si="15"/>
        <v>0</v>
      </c>
      <c r="BJ87" s="118">
        <f t="shared" si="15"/>
        <v>0</v>
      </c>
      <c r="BK87" s="118">
        <f t="shared" si="15"/>
        <v>0</v>
      </c>
      <c r="BL87" s="118">
        <f t="shared" si="15"/>
        <v>0</v>
      </c>
      <c r="BM87" s="119">
        <f t="shared" si="15"/>
        <v>0</v>
      </c>
      <c r="BN87" s="80"/>
    </row>
    <row r="88" spans="2:66" ht="5.25" customHeight="1" x14ac:dyDescent="0.25">
      <c r="B88" s="197"/>
      <c r="C88" s="130"/>
      <c r="D88" s="55"/>
      <c r="E88" s="55"/>
      <c r="F88" s="78"/>
      <c r="G88" s="72"/>
      <c r="H88" s="73"/>
      <c r="I88" s="73"/>
      <c r="J88" s="87"/>
      <c r="K88" s="86"/>
      <c r="L88" s="121"/>
      <c r="M88" s="86"/>
      <c r="N88" s="86"/>
      <c r="O88" s="86"/>
      <c r="P88" s="72"/>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7"/>
    </row>
    <row r="89" spans="2:66" ht="5.25" customHeight="1" x14ac:dyDescent="0.5">
      <c r="B89" s="195" t="s">
        <v>4</v>
      </c>
      <c r="C89" s="129"/>
      <c r="D89" s="133"/>
      <c r="E89" s="133"/>
      <c r="F89" s="131"/>
      <c r="G89" s="68"/>
      <c r="H89" s="125"/>
      <c r="I89" s="69"/>
      <c r="J89" s="38"/>
      <c r="K89" s="37"/>
      <c r="L89" s="36"/>
      <c r="M89" s="37"/>
      <c r="N89" s="37"/>
      <c r="O89" s="37"/>
      <c r="P89" s="126"/>
      <c r="Q89" s="127"/>
      <c r="R89" s="37"/>
      <c r="S89" s="37"/>
      <c r="T89" s="37"/>
      <c r="U89" s="128"/>
      <c r="V89" s="37"/>
      <c r="W89" s="37"/>
      <c r="X89" s="37"/>
      <c r="Y89" s="128"/>
      <c r="Z89" s="37"/>
      <c r="AA89" s="37"/>
      <c r="AB89" s="37"/>
      <c r="AC89" s="128"/>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8"/>
    </row>
    <row r="90" spans="2:66" ht="16.5" customHeight="1" x14ac:dyDescent="0.25">
      <c r="B90" s="196"/>
      <c r="C90" s="30"/>
      <c r="D90" s="41"/>
      <c r="E90" s="41"/>
      <c r="F90" s="132"/>
      <c r="G90" s="30"/>
      <c r="H90" s="70" t="s">
        <v>11</v>
      </c>
      <c r="I90" s="71"/>
      <c r="J90" s="80"/>
      <c r="K90" s="81"/>
      <c r="L90" s="2"/>
      <c r="O90" s="81"/>
      <c r="P90" s="75"/>
      <c r="Q90" s="74" t="s">
        <v>78</v>
      </c>
      <c r="R90" s="88">
        <v>1</v>
      </c>
      <c r="S90" s="88">
        <v>2</v>
      </c>
      <c r="T90" s="88">
        <v>3</v>
      </c>
      <c r="U90" s="88">
        <v>4</v>
      </c>
      <c r="V90" s="88">
        <v>5</v>
      </c>
      <c r="W90" s="88">
        <v>6</v>
      </c>
      <c r="X90" s="88">
        <v>7</v>
      </c>
      <c r="Y90" s="88">
        <v>8</v>
      </c>
      <c r="Z90" s="88">
        <v>9</v>
      </c>
      <c r="AA90" s="88">
        <v>10</v>
      </c>
      <c r="AB90" s="88">
        <v>11</v>
      </c>
      <c r="AC90" s="88">
        <v>12</v>
      </c>
      <c r="AD90" s="88">
        <v>13</v>
      </c>
      <c r="AE90" s="88">
        <v>14</v>
      </c>
      <c r="AF90" s="88">
        <v>15</v>
      </c>
      <c r="AG90" s="88">
        <v>16</v>
      </c>
      <c r="AH90" s="88">
        <v>17</v>
      </c>
      <c r="AI90" s="88">
        <v>18</v>
      </c>
      <c r="AJ90" s="88">
        <v>19</v>
      </c>
      <c r="AK90" s="88">
        <v>20</v>
      </c>
      <c r="AL90" s="88">
        <v>21</v>
      </c>
      <c r="AM90" s="88">
        <v>22</v>
      </c>
      <c r="AN90" s="88">
        <v>23</v>
      </c>
      <c r="AO90" s="88">
        <v>24</v>
      </c>
      <c r="AP90" s="88">
        <v>25</v>
      </c>
      <c r="AQ90" s="88">
        <v>26</v>
      </c>
      <c r="AR90" s="88">
        <v>27</v>
      </c>
      <c r="AS90" s="88">
        <v>28</v>
      </c>
      <c r="AT90" s="88">
        <v>29</v>
      </c>
      <c r="AU90" s="88">
        <v>30</v>
      </c>
      <c r="AV90" s="88">
        <v>31</v>
      </c>
      <c r="AW90" s="88">
        <v>32</v>
      </c>
      <c r="AX90" s="88">
        <v>33</v>
      </c>
      <c r="AY90" s="88">
        <v>34</v>
      </c>
      <c r="AZ90" s="88">
        <v>35</v>
      </c>
      <c r="BA90" s="88">
        <v>36</v>
      </c>
      <c r="BB90" s="88">
        <v>37</v>
      </c>
      <c r="BC90" s="88">
        <v>38</v>
      </c>
      <c r="BD90" s="88">
        <v>39</v>
      </c>
      <c r="BE90" s="88">
        <v>40</v>
      </c>
      <c r="BF90" s="88">
        <v>41</v>
      </c>
      <c r="BG90" s="88">
        <v>42</v>
      </c>
      <c r="BH90" s="88">
        <v>43</v>
      </c>
      <c r="BI90" s="88">
        <v>44</v>
      </c>
      <c r="BJ90" s="88">
        <v>45</v>
      </c>
      <c r="BK90" s="88">
        <v>46</v>
      </c>
      <c r="BL90" s="88">
        <v>47</v>
      </c>
      <c r="BM90" s="88">
        <v>48</v>
      </c>
      <c r="BN90" s="80"/>
    </row>
    <row r="91" spans="2:66" ht="18.75" x14ac:dyDescent="0.35">
      <c r="B91" s="196"/>
      <c r="C91" s="30"/>
      <c r="D91" s="41"/>
      <c r="E91" s="41"/>
      <c r="F91" s="132" t="s">
        <v>136</v>
      </c>
      <c r="G91" s="30"/>
      <c r="H91" s="83" t="s">
        <v>29</v>
      </c>
      <c r="I91" s="158"/>
      <c r="J91" s="80"/>
      <c r="K91" s="81"/>
      <c r="L91" s="82" t="s">
        <v>53</v>
      </c>
      <c r="M91" s="82" t="s">
        <v>102</v>
      </c>
      <c r="N91" s="82" t="s">
        <v>70</v>
      </c>
      <c r="O91" s="81"/>
      <c r="P91" s="30"/>
      <c r="Q91" s="83" t="s">
        <v>35</v>
      </c>
      <c r="R91" s="159"/>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1"/>
      <c r="BN91" s="80"/>
    </row>
    <row r="92" spans="2:66" ht="18.75" x14ac:dyDescent="0.35">
      <c r="B92" s="196"/>
      <c r="C92" s="30"/>
      <c r="D92" s="41"/>
      <c r="E92" s="41"/>
      <c r="F92" s="132"/>
      <c r="G92" s="30"/>
      <c r="H92" s="77"/>
      <c r="I92" s="77"/>
      <c r="J92" s="80"/>
      <c r="K92" s="81"/>
      <c r="L92" s="178">
        <f>ROUND(IF(SUM(R91:BM91)=0,1.05,MAX(N92,N92^2)),2)</f>
        <v>1.05</v>
      </c>
      <c r="M92" s="84">
        <f>ROUND(IF(SUM(R91:BM91)=0,VIC_RLWP,SUMPRODUCT(R91:BM91,VIC_PHH)/SUM(R92:BM92)),2)</f>
        <v>31.04</v>
      </c>
      <c r="N92" s="84">
        <f>ROUND(M92/VIC_RLWP,2)</f>
        <v>1</v>
      </c>
      <c r="O92" s="81"/>
      <c r="P92" s="30"/>
      <c r="Q92" s="83" t="s">
        <v>36</v>
      </c>
      <c r="R92" s="162"/>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4"/>
      <c r="BN92" s="80"/>
    </row>
    <row r="93" spans="2:66" ht="18.75" x14ac:dyDescent="0.35">
      <c r="B93" s="196"/>
      <c r="C93" s="30"/>
      <c r="D93" s="41"/>
      <c r="E93" s="41"/>
      <c r="F93" s="132" t="s">
        <v>5</v>
      </c>
      <c r="G93" s="30"/>
      <c r="H93" s="83" t="s">
        <v>30</v>
      </c>
      <c r="I93" s="158"/>
      <c r="J93" s="80"/>
      <c r="K93" s="81"/>
      <c r="L93" s="46"/>
      <c r="M93" s="85"/>
      <c r="N93" s="85"/>
      <c r="O93" s="81"/>
      <c r="P93" s="30"/>
      <c r="Q93" s="83" t="s">
        <v>39</v>
      </c>
      <c r="R93" s="162"/>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4"/>
      <c r="BN93" s="80"/>
    </row>
    <row r="94" spans="2:66" ht="18.75" x14ac:dyDescent="0.35">
      <c r="B94" s="196"/>
      <c r="C94" s="30"/>
      <c r="D94" s="41"/>
      <c r="E94" s="41"/>
      <c r="F94" s="132" t="s">
        <v>6</v>
      </c>
      <c r="G94" s="30"/>
      <c r="H94" s="83" t="s">
        <v>31</v>
      </c>
      <c r="I94" s="158"/>
      <c r="J94" s="80"/>
      <c r="K94" s="81"/>
      <c r="L94" s="82" t="s">
        <v>54</v>
      </c>
      <c r="M94" s="82" t="s">
        <v>103</v>
      </c>
      <c r="N94" s="82" t="s">
        <v>71</v>
      </c>
      <c r="O94" s="81"/>
      <c r="P94" s="30"/>
      <c r="Q94" s="83" t="s">
        <v>40</v>
      </c>
      <c r="R94" s="162"/>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4"/>
      <c r="BN94" s="80"/>
    </row>
    <row r="95" spans="2:66" ht="18.75" x14ac:dyDescent="0.35">
      <c r="B95" s="196"/>
      <c r="C95" s="30"/>
      <c r="D95" s="41"/>
      <c r="E95" s="41"/>
      <c r="F95" s="132" t="s">
        <v>7</v>
      </c>
      <c r="G95" s="30"/>
      <c r="H95" s="83" t="s">
        <v>56</v>
      </c>
      <c r="I95" s="158"/>
      <c r="J95" s="80"/>
      <c r="K95" s="81"/>
      <c r="L95" s="178">
        <f>ROUND(IF(SUM(R98:BM98)=0,0.95,MAX(N95,N95^2)),2)</f>
        <v>0.95</v>
      </c>
      <c r="M95" s="84">
        <f>ROUND(IF(SUM(R98:BM98)=0,VIC_RLWP,SUMPRODUCT(R98:BM98,VIC_PHH)/SUM(R99:BM99)),2)</f>
        <v>31.04</v>
      </c>
      <c r="N95" s="84">
        <f>ROUND(M95/VIC_RLWP,2)</f>
        <v>1</v>
      </c>
      <c r="O95" s="81"/>
      <c r="P95" s="30"/>
      <c r="Q95" s="83" t="s">
        <v>62</v>
      </c>
      <c r="R95" s="162"/>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4"/>
      <c r="BN95" s="80"/>
    </row>
    <row r="96" spans="2:66" ht="18.75" x14ac:dyDescent="0.35">
      <c r="B96" s="196"/>
      <c r="C96" s="30"/>
      <c r="D96" s="41"/>
      <c r="E96" s="41"/>
      <c r="F96" s="132"/>
      <c r="G96" s="30"/>
      <c r="H96" s="83" t="s">
        <v>57</v>
      </c>
      <c r="I96" s="158"/>
      <c r="J96" s="80"/>
      <c r="K96" s="81"/>
      <c r="L96" s="46"/>
      <c r="M96" s="85"/>
      <c r="N96" s="85"/>
      <c r="O96" s="81"/>
      <c r="P96" s="30"/>
      <c r="Q96" s="83" t="s">
        <v>63</v>
      </c>
      <c r="R96" s="162"/>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4"/>
      <c r="BN96" s="80"/>
    </row>
    <row r="97" spans="2:66" ht="18.75" x14ac:dyDescent="0.35">
      <c r="B97" s="196"/>
      <c r="C97" s="30"/>
      <c r="D97" s="41"/>
      <c r="E97" s="41"/>
      <c r="F97" s="132"/>
      <c r="G97" s="30"/>
      <c r="H97" s="83" t="s">
        <v>58</v>
      </c>
      <c r="I97" s="158"/>
      <c r="J97" s="80"/>
      <c r="K97" s="81"/>
      <c r="L97" s="82" t="s">
        <v>55</v>
      </c>
      <c r="M97" s="82" t="s">
        <v>104</v>
      </c>
      <c r="N97" s="82" t="s">
        <v>79</v>
      </c>
      <c r="O97" s="81"/>
      <c r="P97" s="30"/>
      <c r="Q97" s="83" t="s">
        <v>64</v>
      </c>
      <c r="R97" s="162"/>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4"/>
      <c r="BN97" s="80"/>
    </row>
    <row r="98" spans="2:66" ht="18.75" x14ac:dyDescent="0.35">
      <c r="B98" s="196"/>
      <c r="C98" s="30"/>
      <c r="D98" s="41"/>
      <c r="E98" s="41"/>
      <c r="F98" s="132" t="s">
        <v>137</v>
      </c>
      <c r="G98" s="30"/>
      <c r="H98" s="83" t="s">
        <v>32</v>
      </c>
      <c r="I98" s="158"/>
      <c r="J98" s="80"/>
      <c r="K98" s="81"/>
      <c r="L98" s="178">
        <f>ROUND(MAX(N98,N98^2),2)</f>
        <v>1</v>
      </c>
      <c r="M98" s="84">
        <f>ROUND(IF(SUM(R105:BM105)=0,VIC_RLWP,SUMPRODUCT(R105:BM105,VIC_PHH)/SUM(R105:BM105)),2)</f>
        <v>31.04</v>
      </c>
      <c r="N98" s="84">
        <f>ROUND(M98/VIC_RLWP,2)</f>
        <v>1</v>
      </c>
      <c r="O98" s="81"/>
      <c r="P98" s="30"/>
      <c r="Q98" s="83" t="s">
        <v>37</v>
      </c>
      <c r="R98" s="162"/>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4"/>
      <c r="BN98" s="80"/>
    </row>
    <row r="99" spans="2:66" ht="18.75" x14ac:dyDescent="0.35">
      <c r="B99" s="196"/>
      <c r="C99" s="30"/>
      <c r="D99" s="41"/>
      <c r="E99" s="41"/>
      <c r="F99" s="132"/>
      <c r="G99" s="30"/>
      <c r="H99" s="77"/>
      <c r="I99" s="77"/>
      <c r="J99" s="80"/>
      <c r="K99" s="81"/>
      <c r="L99" s="46"/>
      <c r="M99" s="85"/>
      <c r="N99" s="85"/>
      <c r="O99" s="81"/>
      <c r="P99" s="30"/>
      <c r="Q99" s="83" t="s">
        <v>38</v>
      </c>
      <c r="R99" s="162"/>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4"/>
      <c r="BN99" s="80"/>
    </row>
    <row r="100" spans="2:66" ht="18.75" x14ac:dyDescent="0.35">
      <c r="B100" s="196"/>
      <c r="C100" s="30"/>
      <c r="D100" s="41"/>
      <c r="E100" s="41"/>
      <c r="F100" s="132" t="s">
        <v>8</v>
      </c>
      <c r="G100" s="30"/>
      <c r="H100" s="83" t="s">
        <v>33</v>
      </c>
      <c r="I100" s="158"/>
      <c r="J100" s="80"/>
      <c r="K100" s="81"/>
      <c r="L100" s="82" t="s">
        <v>85</v>
      </c>
      <c r="M100" s="82" t="s">
        <v>105</v>
      </c>
      <c r="N100" s="82" t="s">
        <v>83</v>
      </c>
      <c r="O100" s="81"/>
      <c r="P100" s="30"/>
      <c r="Q100" s="83" t="s">
        <v>41</v>
      </c>
      <c r="R100" s="162"/>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4"/>
      <c r="BN100" s="80"/>
    </row>
    <row r="101" spans="2:66" ht="18.75" x14ac:dyDescent="0.35">
      <c r="B101" s="196"/>
      <c r="C101" s="30"/>
      <c r="D101" s="41"/>
      <c r="E101" s="41"/>
      <c r="F101" s="132" t="s">
        <v>9</v>
      </c>
      <c r="G101" s="30"/>
      <c r="H101" s="83" t="s">
        <v>34</v>
      </c>
      <c r="I101" s="158"/>
      <c r="J101" s="80"/>
      <c r="K101" s="81"/>
      <c r="L101" s="178">
        <f>ROUND(MAX(N101,N101^2),2)</f>
        <v>1</v>
      </c>
      <c r="M101" s="84">
        <f>ROUND(IF(SUM(R106:BM106)=0,VIC_RLWPC100,SUMPRODUCT(R106:BM106,VIC_PHHC100)/SUM(R106:BM106)),2)</f>
        <v>28.98</v>
      </c>
      <c r="N101" s="84">
        <f>ROUND(M101/VIC_RLWPC100,2)</f>
        <v>1</v>
      </c>
      <c r="O101" s="81"/>
      <c r="P101" s="30"/>
      <c r="Q101" s="83" t="s">
        <v>42</v>
      </c>
      <c r="R101" s="162"/>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4"/>
      <c r="BN101" s="80"/>
    </row>
    <row r="102" spans="2:66" ht="18.75" x14ac:dyDescent="0.35">
      <c r="B102" s="196"/>
      <c r="C102" s="30"/>
      <c r="D102" s="41"/>
      <c r="E102" s="41"/>
      <c r="F102" s="132" t="s">
        <v>10</v>
      </c>
      <c r="G102" s="30"/>
      <c r="H102" s="83" t="s">
        <v>59</v>
      </c>
      <c r="I102" s="158"/>
      <c r="J102" s="80"/>
      <c r="K102" s="81"/>
      <c r="L102" s="2"/>
      <c r="O102" s="81"/>
      <c r="P102" s="30"/>
      <c r="Q102" s="83" t="s">
        <v>65</v>
      </c>
      <c r="R102" s="162"/>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4"/>
      <c r="BN102" s="80"/>
    </row>
    <row r="103" spans="2:66" ht="18.75" x14ac:dyDescent="0.35">
      <c r="B103" s="196"/>
      <c r="C103" s="30"/>
      <c r="D103" s="41"/>
      <c r="E103" s="41"/>
      <c r="F103" s="132"/>
      <c r="G103" s="30"/>
      <c r="H103" s="83" t="s">
        <v>60</v>
      </c>
      <c r="I103" s="158"/>
      <c r="J103" s="80"/>
      <c r="K103" s="81"/>
      <c r="L103" s="82" t="s">
        <v>82</v>
      </c>
      <c r="M103" s="82" t="s">
        <v>106</v>
      </c>
      <c r="N103" s="82" t="s">
        <v>84</v>
      </c>
      <c r="O103" s="81"/>
      <c r="P103" s="30"/>
      <c r="Q103" s="83" t="s">
        <v>66</v>
      </c>
      <c r="R103" s="162"/>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4"/>
      <c r="BN103" s="80"/>
    </row>
    <row r="104" spans="2:66" ht="18.75" x14ac:dyDescent="0.35">
      <c r="B104" s="196"/>
      <c r="C104" s="30"/>
      <c r="D104" s="41"/>
      <c r="E104" s="41"/>
      <c r="F104" s="132"/>
      <c r="G104" s="30"/>
      <c r="H104" s="83" t="s">
        <v>61</v>
      </c>
      <c r="I104" s="158"/>
      <c r="J104" s="80"/>
      <c r="K104" s="81"/>
      <c r="L104" s="178">
        <f>ROUND(MAX(N104,N104^2),2)</f>
        <v>1</v>
      </c>
      <c r="M104" s="84">
        <f>ROUND(IF(SUM(R107:BM107)=0,VIC_RLWPC200,SUMPRODUCT(R107:BM107,VIC_PHHC200)/SUM(R107:BM107)),2)</f>
        <v>29.26</v>
      </c>
      <c r="N104" s="84">
        <f>ROUND(M104/VIC_RLWPC200,2)</f>
        <v>1</v>
      </c>
      <c r="O104" s="81"/>
      <c r="P104" s="30"/>
      <c r="Q104" s="83" t="s">
        <v>67</v>
      </c>
      <c r="R104" s="162"/>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4"/>
      <c r="BN104" s="80"/>
    </row>
    <row r="105" spans="2:66" x14ac:dyDescent="0.25">
      <c r="B105" s="196"/>
      <c r="C105" s="30"/>
      <c r="D105" s="41"/>
      <c r="E105" s="41"/>
      <c r="F105" s="132"/>
      <c r="G105" s="30"/>
      <c r="H105" s="41"/>
      <c r="I105" s="41"/>
      <c r="J105" s="80"/>
      <c r="K105" s="81"/>
      <c r="L105" s="2"/>
      <c r="O105" s="81"/>
      <c r="P105" s="30"/>
      <c r="Q105" s="113" t="s">
        <v>68</v>
      </c>
      <c r="R105" s="114">
        <f>SUM(R93:R94)-SUM(R100:R101)</f>
        <v>0</v>
      </c>
      <c r="S105" s="115">
        <f t="shared" ref="S105:BM105" si="16">SUM(S93:S94)-SUM(S100:S101)</f>
        <v>0</v>
      </c>
      <c r="T105" s="115">
        <f t="shared" si="16"/>
        <v>0</v>
      </c>
      <c r="U105" s="115">
        <f t="shared" si="16"/>
        <v>0</v>
      </c>
      <c r="V105" s="115">
        <f t="shared" si="16"/>
        <v>0</v>
      </c>
      <c r="W105" s="115">
        <f t="shared" si="16"/>
        <v>0</v>
      </c>
      <c r="X105" s="115">
        <f t="shared" si="16"/>
        <v>0</v>
      </c>
      <c r="Y105" s="115">
        <f t="shared" si="16"/>
        <v>0</v>
      </c>
      <c r="Z105" s="115">
        <f t="shared" si="16"/>
        <v>0</v>
      </c>
      <c r="AA105" s="115">
        <f t="shared" si="16"/>
        <v>0</v>
      </c>
      <c r="AB105" s="115">
        <f t="shared" si="16"/>
        <v>0</v>
      </c>
      <c r="AC105" s="115">
        <f t="shared" si="16"/>
        <v>0</v>
      </c>
      <c r="AD105" s="115">
        <f t="shared" si="16"/>
        <v>0</v>
      </c>
      <c r="AE105" s="115">
        <f t="shared" si="16"/>
        <v>0</v>
      </c>
      <c r="AF105" s="115">
        <f t="shared" si="16"/>
        <v>0</v>
      </c>
      <c r="AG105" s="115">
        <f t="shared" si="16"/>
        <v>0</v>
      </c>
      <c r="AH105" s="115">
        <f t="shared" si="16"/>
        <v>0</v>
      </c>
      <c r="AI105" s="115">
        <f t="shared" si="16"/>
        <v>0</v>
      </c>
      <c r="AJ105" s="115">
        <f t="shared" si="16"/>
        <v>0</v>
      </c>
      <c r="AK105" s="115">
        <f t="shared" si="16"/>
        <v>0</v>
      </c>
      <c r="AL105" s="115">
        <f t="shared" si="16"/>
        <v>0</v>
      </c>
      <c r="AM105" s="115">
        <f t="shared" si="16"/>
        <v>0</v>
      </c>
      <c r="AN105" s="115">
        <f t="shared" si="16"/>
        <v>0</v>
      </c>
      <c r="AO105" s="115">
        <f t="shared" si="16"/>
        <v>0</v>
      </c>
      <c r="AP105" s="115">
        <f t="shared" si="16"/>
        <v>0</v>
      </c>
      <c r="AQ105" s="115">
        <f t="shared" si="16"/>
        <v>0</v>
      </c>
      <c r="AR105" s="115">
        <f t="shared" si="16"/>
        <v>0</v>
      </c>
      <c r="AS105" s="115">
        <f t="shared" si="16"/>
        <v>0</v>
      </c>
      <c r="AT105" s="115">
        <f t="shared" si="16"/>
        <v>0</v>
      </c>
      <c r="AU105" s="115">
        <f t="shared" si="16"/>
        <v>0</v>
      </c>
      <c r="AV105" s="115">
        <f t="shared" si="16"/>
        <v>0</v>
      </c>
      <c r="AW105" s="115">
        <f t="shared" si="16"/>
        <v>0</v>
      </c>
      <c r="AX105" s="115">
        <f t="shared" si="16"/>
        <v>0</v>
      </c>
      <c r="AY105" s="115">
        <f t="shared" si="16"/>
        <v>0</v>
      </c>
      <c r="AZ105" s="115">
        <f t="shared" si="16"/>
        <v>0</v>
      </c>
      <c r="BA105" s="115">
        <f t="shared" si="16"/>
        <v>0</v>
      </c>
      <c r="BB105" s="115">
        <f t="shared" si="16"/>
        <v>0</v>
      </c>
      <c r="BC105" s="115">
        <f t="shared" si="16"/>
        <v>0</v>
      </c>
      <c r="BD105" s="115">
        <f t="shared" si="16"/>
        <v>0</v>
      </c>
      <c r="BE105" s="115">
        <f t="shared" si="16"/>
        <v>0</v>
      </c>
      <c r="BF105" s="115">
        <f t="shared" si="16"/>
        <v>0</v>
      </c>
      <c r="BG105" s="115">
        <f t="shared" si="16"/>
        <v>0</v>
      </c>
      <c r="BH105" s="115">
        <f t="shared" si="16"/>
        <v>0</v>
      </c>
      <c r="BI105" s="115">
        <f t="shared" si="16"/>
        <v>0</v>
      </c>
      <c r="BJ105" s="115">
        <f t="shared" si="16"/>
        <v>0</v>
      </c>
      <c r="BK105" s="115">
        <f t="shared" si="16"/>
        <v>0</v>
      </c>
      <c r="BL105" s="115">
        <f t="shared" si="16"/>
        <v>0</v>
      </c>
      <c r="BM105" s="116">
        <f t="shared" si="16"/>
        <v>0</v>
      </c>
      <c r="BN105" s="80"/>
    </row>
    <row r="106" spans="2:66" ht="18.75" x14ac:dyDescent="0.35">
      <c r="B106" s="196"/>
      <c r="C106" s="30"/>
      <c r="D106" s="113" t="s">
        <v>143</v>
      </c>
      <c r="E106" s="157">
        <v>0</v>
      </c>
      <c r="F106" s="132"/>
      <c r="G106" s="30"/>
      <c r="H106" s="83" t="s">
        <v>43</v>
      </c>
      <c r="I106" s="158">
        <v>0</v>
      </c>
      <c r="J106" s="80"/>
      <c r="K106" s="81"/>
      <c r="L106" s="82" t="s">
        <v>81</v>
      </c>
      <c r="M106" s="82" t="s">
        <v>107</v>
      </c>
      <c r="N106" s="82" t="s">
        <v>80</v>
      </c>
      <c r="O106" s="81"/>
      <c r="P106" s="30"/>
      <c r="Q106" s="113" t="s">
        <v>69</v>
      </c>
      <c r="R106" s="114">
        <f>R95-R102</f>
        <v>0</v>
      </c>
      <c r="S106" s="115">
        <f t="shared" ref="S106:BM106" si="17">S95-S102</f>
        <v>0</v>
      </c>
      <c r="T106" s="115">
        <f t="shared" si="17"/>
        <v>0</v>
      </c>
      <c r="U106" s="115">
        <f t="shared" si="17"/>
        <v>0</v>
      </c>
      <c r="V106" s="115">
        <f t="shared" si="17"/>
        <v>0</v>
      </c>
      <c r="W106" s="115">
        <f t="shared" si="17"/>
        <v>0</v>
      </c>
      <c r="X106" s="115">
        <f t="shared" si="17"/>
        <v>0</v>
      </c>
      <c r="Y106" s="115">
        <f t="shared" si="17"/>
        <v>0</v>
      </c>
      <c r="Z106" s="115">
        <f t="shared" si="17"/>
        <v>0</v>
      </c>
      <c r="AA106" s="115">
        <f t="shared" si="17"/>
        <v>0</v>
      </c>
      <c r="AB106" s="115">
        <f t="shared" si="17"/>
        <v>0</v>
      </c>
      <c r="AC106" s="115">
        <f t="shared" si="17"/>
        <v>0</v>
      </c>
      <c r="AD106" s="115">
        <f t="shared" si="17"/>
        <v>0</v>
      </c>
      <c r="AE106" s="115">
        <f t="shared" si="17"/>
        <v>0</v>
      </c>
      <c r="AF106" s="115">
        <f t="shared" si="17"/>
        <v>0</v>
      </c>
      <c r="AG106" s="115">
        <f t="shared" si="17"/>
        <v>0</v>
      </c>
      <c r="AH106" s="115">
        <f t="shared" si="17"/>
        <v>0</v>
      </c>
      <c r="AI106" s="115">
        <f t="shared" si="17"/>
        <v>0</v>
      </c>
      <c r="AJ106" s="115">
        <f t="shared" si="17"/>
        <v>0</v>
      </c>
      <c r="AK106" s="115">
        <f t="shared" si="17"/>
        <v>0</v>
      </c>
      <c r="AL106" s="115">
        <f t="shared" si="17"/>
        <v>0</v>
      </c>
      <c r="AM106" s="115">
        <f t="shared" si="17"/>
        <v>0</v>
      </c>
      <c r="AN106" s="115">
        <f t="shared" si="17"/>
        <v>0</v>
      </c>
      <c r="AO106" s="115">
        <f t="shared" si="17"/>
        <v>0</v>
      </c>
      <c r="AP106" s="115">
        <f t="shared" si="17"/>
        <v>0</v>
      </c>
      <c r="AQ106" s="115">
        <f t="shared" si="17"/>
        <v>0</v>
      </c>
      <c r="AR106" s="115">
        <f t="shared" si="17"/>
        <v>0</v>
      </c>
      <c r="AS106" s="115">
        <f t="shared" si="17"/>
        <v>0</v>
      </c>
      <c r="AT106" s="115">
        <f t="shared" si="17"/>
        <v>0</v>
      </c>
      <c r="AU106" s="115">
        <f t="shared" si="17"/>
        <v>0</v>
      </c>
      <c r="AV106" s="115">
        <f t="shared" si="17"/>
        <v>0</v>
      </c>
      <c r="AW106" s="115">
        <f t="shared" si="17"/>
        <v>0</v>
      </c>
      <c r="AX106" s="115">
        <f t="shared" si="17"/>
        <v>0</v>
      </c>
      <c r="AY106" s="115">
        <f t="shared" si="17"/>
        <v>0</v>
      </c>
      <c r="AZ106" s="115">
        <f t="shared" si="17"/>
        <v>0</v>
      </c>
      <c r="BA106" s="115">
        <f t="shared" si="17"/>
        <v>0</v>
      </c>
      <c r="BB106" s="115">
        <f t="shared" si="17"/>
        <v>0</v>
      </c>
      <c r="BC106" s="115">
        <f t="shared" si="17"/>
        <v>0</v>
      </c>
      <c r="BD106" s="115">
        <f t="shared" si="17"/>
        <v>0</v>
      </c>
      <c r="BE106" s="115">
        <f t="shared" si="17"/>
        <v>0</v>
      </c>
      <c r="BF106" s="115">
        <f t="shared" si="17"/>
        <v>0</v>
      </c>
      <c r="BG106" s="115">
        <f t="shared" si="17"/>
        <v>0</v>
      </c>
      <c r="BH106" s="115">
        <f t="shared" si="17"/>
        <v>0</v>
      </c>
      <c r="BI106" s="115">
        <f t="shared" si="17"/>
        <v>0</v>
      </c>
      <c r="BJ106" s="115">
        <f t="shared" si="17"/>
        <v>0</v>
      </c>
      <c r="BK106" s="115">
        <f t="shared" si="17"/>
        <v>0</v>
      </c>
      <c r="BL106" s="115">
        <f t="shared" si="17"/>
        <v>0</v>
      </c>
      <c r="BM106" s="116">
        <f t="shared" si="17"/>
        <v>0</v>
      </c>
      <c r="BN106" s="80"/>
    </row>
    <row r="107" spans="2:66" ht="18.75" x14ac:dyDescent="0.35">
      <c r="B107" s="196"/>
      <c r="C107" s="30"/>
      <c r="D107" s="113" t="s">
        <v>144</v>
      </c>
      <c r="E107" s="157">
        <v>0</v>
      </c>
      <c r="F107" s="132"/>
      <c r="G107" s="30"/>
      <c r="H107" s="83" t="s">
        <v>44</v>
      </c>
      <c r="I107" s="158">
        <v>0</v>
      </c>
      <c r="J107" s="80"/>
      <c r="K107" s="81"/>
      <c r="L107" s="178">
        <f>ROUND(MAX(N107,N107^2),2)</f>
        <v>1</v>
      </c>
      <c r="M107" s="84">
        <f>ROUND(IF(SUM(R108:BM108)=0,VIC_RLWPC300,SUMPRODUCT(R108:BM108,VIC_PHHC300)/SUM(R108:BM108)),2)</f>
        <v>29.4</v>
      </c>
      <c r="N107" s="84">
        <f>ROUND(M107/VIC_RLWPC300,2)</f>
        <v>1</v>
      </c>
      <c r="O107" s="81"/>
      <c r="P107" s="30"/>
      <c r="Q107" s="113" t="s">
        <v>86</v>
      </c>
      <c r="R107" s="114">
        <f t="shared" ref="R107:BM107" si="18">R96-R103</f>
        <v>0</v>
      </c>
      <c r="S107" s="115">
        <f t="shared" si="18"/>
        <v>0</v>
      </c>
      <c r="T107" s="115">
        <f t="shared" si="18"/>
        <v>0</v>
      </c>
      <c r="U107" s="115">
        <f t="shared" si="18"/>
        <v>0</v>
      </c>
      <c r="V107" s="115">
        <f t="shared" si="18"/>
        <v>0</v>
      </c>
      <c r="W107" s="115">
        <f t="shared" si="18"/>
        <v>0</v>
      </c>
      <c r="X107" s="115">
        <f t="shared" si="18"/>
        <v>0</v>
      </c>
      <c r="Y107" s="115">
        <f t="shared" si="18"/>
        <v>0</v>
      </c>
      <c r="Z107" s="115">
        <f t="shared" si="18"/>
        <v>0</v>
      </c>
      <c r="AA107" s="115">
        <f t="shared" si="18"/>
        <v>0</v>
      </c>
      <c r="AB107" s="115">
        <f t="shared" si="18"/>
        <v>0</v>
      </c>
      <c r="AC107" s="115">
        <f t="shared" si="18"/>
        <v>0</v>
      </c>
      <c r="AD107" s="115">
        <f t="shared" si="18"/>
        <v>0</v>
      </c>
      <c r="AE107" s="115">
        <f t="shared" si="18"/>
        <v>0</v>
      </c>
      <c r="AF107" s="115">
        <f t="shared" si="18"/>
        <v>0</v>
      </c>
      <c r="AG107" s="115">
        <f t="shared" si="18"/>
        <v>0</v>
      </c>
      <c r="AH107" s="115">
        <f t="shared" si="18"/>
        <v>0</v>
      </c>
      <c r="AI107" s="115">
        <f t="shared" si="18"/>
        <v>0</v>
      </c>
      <c r="AJ107" s="115">
        <f t="shared" si="18"/>
        <v>0</v>
      </c>
      <c r="AK107" s="115">
        <f t="shared" si="18"/>
        <v>0</v>
      </c>
      <c r="AL107" s="115">
        <f t="shared" si="18"/>
        <v>0</v>
      </c>
      <c r="AM107" s="115">
        <f t="shared" si="18"/>
        <v>0</v>
      </c>
      <c r="AN107" s="115">
        <f t="shared" si="18"/>
        <v>0</v>
      </c>
      <c r="AO107" s="115">
        <f t="shared" si="18"/>
        <v>0</v>
      </c>
      <c r="AP107" s="115">
        <f t="shared" si="18"/>
        <v>0</v>
      </c>
      <c r="AQ107" s="115">
        <f t="shared" si="18"/>
        <v>0</v>
      </c>
      <c r="AR107" s="115">
        <f t="shared" si="18"/>
        <v>0</v>
      </c>
      <c r="AS107" s="115">
        <f t="shared" si="18"/>
        <v>0</v>
      </c>
      <c r="AT107" s="115">
        <f t="shared" si="18"/>
        <v>0</v>
      </c>
      <c r="AU107" s="115">
        <f t="shared" si="18"/>
        <v>0</v>
      </c>
      <c r="AV107" s="115">
        <f t="shared" si="18"/>
        <v>0</v>
      </c>
      <c r="AW107" s="115">
        <f t="shared" si="18"/>
        <v>0</v>
      </c>
      <c r="AX107" s="115">
        <f t="shared" si="18"/>
        <v>0</v>
      </c>
      <c r="AY107" s="115">
        <f t="shared" si="18"/>
        <v>0</v>
      </c>
      <c r="AZ107" s="115">
        <f t="shared" si="18"/>
        <v>0</v>
      </c>
      <c r="BA107" s="115">
        <f t="shared" si="18"/>
        <v>0</v>
      </c>
      <c r="BB107" s="115">
        <f t="shared" si="18"/>
        <v>0</v>
      </c>
      <c r="BC107" s="115">
        <f t="shared" si="18"/>
        <v>0</v>
      </c>
      <c r="BD107" s="115">
        <f t="shared" si="18"/>
        <v>0</v>
      </c>
      <c r="BE107" s="115">
        <f t="shared" si="18"/>
        <v>0</v>
      </c>
      <c r="BF107" s="115">
        <f t="shared" si="18"/>
        <v>0</v>
      </c>
      <c r="BG107" s="115">
        <f t="shared" si="18"/>
        <v>0</v>
      </c>
      <c r="BH107" s="115">
        <f t="shared" si="18"/>
        <v>0</v>
      </c>
      <c r="BI107" s="115">
        <f t="shared" si="18"/>
        <v>0</v>
      </c>
      <c r="BJ107" s="115">
        <f t="shared" si="18"/>
        <v>0</v>
      </c>
      <c r="BK107" s="115">
        <f t="shared" si="18"/>
        <v>0</v>
      </c>
      <c r="BL107" s="115">
        <f t="shared" si="18"/>
        <v>0</v>
      </c>
      <c r="BM107" s="116">
        <f t="shared" si="18"/>
        <v>0</v>
      </c>
      <c r="BN107" s="80"/>
    </row>
    <row r="108" spans="2:66" x14ac:dyDescent="0.25">
      <c r="B108" s="196"/>
      <c r="C108" s="30"/>
      <c r="D108" s="41"/>
      <c r="E108" s="41"/>
      <c r="F108" s="132"/>
      <c r="G108" s="30"/>
      <c r="H108" s="41"/>
      <c r="I108" s="41"/>
      <c r="J108" s="80"/>
      <c r="K108" s="81"/>
      <c r="L108" s="2"/>
      <c r="O108" s="81"/>
      <c r="P108" s="30"/>
      <c r="Q108" s="113" t="s">
        <v>87</v>
      </c>
      <c r="R108" s="117">
        <f>R97-R104</f>
        <v>0</v>
      </c>
      <c r="S108" s="118">
        <f t="shared" ref="S108:BM108" si="19">S97-S104</f>
        <v>0</v>
      </c>
      <c r="T108" s="118">
        <f t="shared" si="19"/>
        <v>0</v>
      </c>
      <c r="U108" s="118">
        <f t="shared" si="19"/>
        <v>0</v>
      </c>
      <c r="V108" s="118">
        <f t="shared" si="19"/>
        <v>0</v>
      </c>
      <c r="W108" s="118">
        <f t="shared" si="19"/>
        <v>0</v>
      </c>
      <c r="X108" s="118">
        <f t="shared" si="19"/>
        <v>0</v>
      </c>
      <c r="Y108" s="118">
        <f t="shared" si="19"/>
        <v>0</v>
      </c>
      <c r="Z108" s="118">
        <f t="shared" si="19"/>
        <v>0</v>
      </c>
      <c r="AA108" s="118">
        <f t="shared" si="19"/>
        <v>0</v>
      </c>
      <c r="AB108" s="118">
        <f t="shared" si="19"/>
        <v>0</v>
      </c>
      <c r="AC108" s="118">
        <f t="shared" si="19"/>
        <v>0</v>
      </c>
      <c r="AD108" s="118">
        <f t="shared" si="19"/>
        <v>0</v>
      </c>
      <c r="AE108" s="118">
        <f t="shared" si="19"/>
        <v>0</v>
      </c>
      <c r="AF108" s="118">
        <f t="shared" si="19"/>
        <v>0</v>
      </c>
      <c r="AG108" s="118">
        <f t="shared" si="19"/>
        <v>0</v>
      </c>
      <c r="AH108" s="118">
        <f t="shared" si="19"/>
        <v>0</v>
      </c>
      <c r="AI108" s="118">
        <f t="shared" si="19"/>
        <v>0</v>
      </c>
      <c r="AJ108" s="118">
        <f t="shared" si="19"/>
        <v>0</v>
      </c>
      <c r="AK108" s="118">
        <f t="shared" si="19"/>
        <v>0</v>
      </c>
      <c r="AL108" s="118">
        <f t="shared" si="19"/>
        <v>0</v>
      </c>
      <c r="AM108" s="118">
        <f t="shared" si="19"/>
        <v>0</v>
      </c>
      <c r="AN108" s="118">
        <f t="shared" si="19"/>
        <v>0</v>
      </c>
      <c r="AO108" s="118">
        <f t="shared" si="19"/>
        <v>0</v>
      </c>
      <c r="AP108" s="118">
        <f t="shared" si="19"/>
        <v>0</v>
      </c>
      <c r="AQ108" s="118">
        <f t="shared" si="19"/>
        <v>0</v>
      </c>
      <c r="AR108" s="118">
        <f t="shared" si="19"/>
        <v>0</v>
      </c>
      <c r="AS108" s="118">
        <f t="shared" si="19"/>
        <v>0</v>
      </c>
      <c r="AT108" s="118">
        <f t="shared" si="19"/>
        <v>0</v>
      </c>
      <c r="AU108" s="118">
        <f t="shared" si="19"/>
        <v>0</v>
      </c>
      <c r="AV108" s="118">
        <f t="shared" si="19"/>
        <v>0</v>
      </c>
      <c r="AW108" s="118">
        <f t="shared" si="19"/>
        <v>0</v>
      </c>
      <c r="AX108" s="118">
        <f t="shared" si="19"/>
        <v>0</v>
      </c>
      <c r="AY108" s="118">
        <f t="shared" si="19"/>
        <v>0</v>
      </c>
      <c r="AZ108" s="118">
        <f t="shared" si="19"/>
        <v>0</v>
      </c>
      <c r="BA108" s="118">
        <f t="shared" si="19"/>
        <v>0</v>
      </c>
      <c r="BB108" s="118">
        <f t="shared" si="19"/>
        <v>0</v>
      </c>
      <c r="BC108" s="118">
        <f t="shared" si="19"/>
        <v>0</v>
      </c>
      <c r="BD108" s="118">
        <f t="shared" si="19"/>
        <v>0</v>
      </c>
      <c r="BE108" s="118">
        <f t="shared" si="19"/>
        <v>0</v>
      </c>
      <c r="BF108" s="118">
        <f t="shared" si="19"/>
        <v>0</v>
      </c>
      <c r="BG108" s="118">
        <f t="shared" si="19"/>
        <v>0</v>
      </c>
      <c r="BH108" s="118">
        <f t="shared" si="19"/>
        <v>0</v>
      </c>
      <c r="BI108" s="118">
        <f t="shared" si="19"/>
        <v>0</v>
      </c>
      <c r="BJ108" s="118">
        <f t="shared" si="19"/>
        <v>0</v>
      </c>
      <c r="BK108" s="118">
        <f t="shared" si="19"/>
        <v>0</v>
      </c>
      <c r="BL108" s="118">
        <f t="shared" si="19"/>
        <v>0</v>
      </c>
      <c r="BM108" s="119">
        <f t="shared" si="19"/>
        <v>0</v>
      </c>
      <c r="BN108" s="80"/>
    </row>
    <row r="109" spans="2:66" ht="5.25" customHeight="1" x14ac:dyDescent="0.25">
      <c r="B109" s="197"/>
      <c r="C109" s="130"/>
      <c r="D109" s="55"/>
      <c r="E109" s="55"/>
      <c r="F109" s="78"/>
      <c r="G109" s="72"/>
      <c r="H109" s="73"/>
      <c r="I109" s="73"/>
      <c r="J109" s="87"/>
      <c r="K109" s="86"/>
      <c r="L109" s="121"/>
      <c r="M109" s="86"/>
      <c r="N109" s="86"/>
      <c r="O109" s="86"/>
      <c r="P109" s="72"/>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7"/>
    </row>
  </sheetData>
  <sheetProtection password="AFDE" sheet="1" objects="1" scenarios="1" formatCells="0" formatColumns="0" formatRows="0"/>
  <mergeCells count="9">
    <mergeCell ref="B26:B46"/>
    <mergeCell ref="B47:B67"/>
    <mergeCell ref="B68:B88"/>
    <mergeCell ref="B89:B109"/>
    <mergeCell ref="N2:O2"/>
    <mergeCell ref="K2:L2"/>
    <mergeCell ref="I2:J2"/>
    <mergeCell ref="G2:H2"/>
    <mergeCell ref="B5:B25"/>
  </mergeCells>
  <dataValidations count="1">
    <dataValidation type="custom" errorStyle="information" allowBlank="1" showErrorMessage="1" errorTitle="Overriding Calculated Cell" error="This cell contains an excel function. Changing this cell will overwrite the function with the value that you will input. Click “OK” if you want to continue." sqref="L8 L11 L14 L17 L20 L23 L29 L32 L35 L38 L41 L44 L50 L53 L56 L59 L62 L65 L71 L74 L77 L80 L83 L86 L92 L95 L98 L101 L104 L107">
      <formula1>_xlfn.ISFORMULA(L8)</formula1>
    </dataValidation>
  </dataValidations>
  <hyperlinks>
    <hyperlink ref="K2" location="ParticipantData!B48" display="SA"/>
    <hyperlink ref="M2:O2" location="ParticipantData!B69" display="TAS"/>
    <hyperlink ref="N2:O2" location="ParticipantData!B90" tooltip="VIC" display="VIC"/>
    <hyperlink ref="G2" location="ParticipantData!B6" display="NSW"/>
    <hyperlink ref="I2:J2" location="ParticipantData!B27" tooltip="QLD" display="QLD"/>
    <hyperlink ref="G2:H2" location="ParticipantData!B6" tooltip="NSW" display="NSW"/>
    <hyperlink ref="K2:L2" location="ParticipantData!B48" tooltip="SA" display="SA"/>
    <hyperlink ref="M2" location="ParticipantData!B69" tooltip="TAS" display="TAS"/>
  </hyperlinks>
  <pageMargins left="0.70866141732283472" right="0.70866141732283472" top="0.74803149606299213" bottom="0.74803149606299213" header="0.31496062992125984" footer="0.31496062992125984"/>
  <pageSetup paperSize="9" scale="38" fitToWidth="3" fitToHeight="3" pageOrder="overThenDown" orientation="portrait" verticalDpi="0"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
  <sheetViews>
    <sheetView topLeftCell="A4" workbookViewId="0">
      <selection activeCell="B4" sqref="B4"/>
    </sheetView>
  </sheetViews>
  <sheetFormatPr defaultRowHeight="15" x14ac:dyDescent="0.25"/>
  <cols>
    <col min="1" max="1" width="10.85546875" style="166" bestFit="1" customWidth="1"/>
    <col min="2" max="2" width="154.140625" style="166" customWidth="1"/>
    <col min="3" max="3" width="10.7109375" style="166" bestFit="1" customWidth="1"/>
  </cols>
  <sheetData>
    <row r="1" spans="1:3" x14ac:dyDescent="0.25">
      <c r="A1" s="165" t="s">
        <v>108</v>
      </c>
      <c r="B1" s="165" t="s">
        <v>109</v>
      </c>
      <c r="C1" s="165" t="s">
        <v>110</v>
      </c>
    </row>
    <row r="2" spans="1:3" x14ac:dyDescent="0.25">
      <c r="A2" s="177">
        <v>0</v>
      </c>
      <c r="B2" s="166" t="s">
        <v>145</v>
      </c>
      <c r="C2" s="167">
        <v>41460</v>
      </c>
    </row>
    <row r="3" spans="1:3" ht="45" x14ac:dyDescent="0.25">
      <c r="A3" s="166">
        <v>0.1</v>
      </c>
      <c r="B3" s="168" t="s">
        <v>111</v>
      </c>
      <c r="C3" s="167">
        <v>41465</v>
      </c>
    </row>
    <row r="4" spans="1:3" ht="375" x14ac:dyDescent="0.25">
      <c r="A4" s="166">
        <v>1</v>
      </c>
      <c r="B4" s="172" t="s">
        <v>146</v>
      </c>
      <c r="C4" s="167">
        <v>41544</v>
      </c>
    </row>
    <row r="5" spans="1:3" ht="105" x14ac:dyDescent="0.25">
      <c r="A5" s="166">
        <v>1.1000000000000001</v>
      </c>
      <c r="B5" s="168" t="s">
        <v>147</v>
      </c>
      <c r="C5" s="167">
        <v>41710</v>
      </c>
    </row>
    <row r="6" spans="1:3" x14ac:dyDescent="0.25">
      <c r="C6" s="167"/>
    </row>
  </sheetData>
  <sheetProtection password="AFDE"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/sites/snp/p</xsnScope>
</customXsn>
</file>

<file path=customXml/item3.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Pedro Riveros</DisplayName>
        <AccountId>66</AccountId>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Operational Record</TermName>
          <TermId>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2</Value>
    </TaxCatchAll>
    <AEMODescription xmlns="a14523ce-dede-483e-883a-2d83261080bd" xsi:nil="true"/>
    <_dlc_DocId xmlns="a14523ce-dede-483e-883a-2d83261080bd">SETTPRUDENT-8-17174</_dlc_DocId>
    <_dlc_DocIdUrl xmlns="a14523ce-dede-483e-883a-2d83261080bd">
      <Url>http://sharedocs/sites/snp/_layouts/15/DocIdRedir.aspx?ID=SETTPRUDENT-8-17174</Url>
      <Description>SETTPRUDENT-8-17174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AEMODocument" ma:contentTypeID="0x0101009BE89D58CAF0934CA32A20BCFFD353DC000B71F2E56E39F04BB370E2BC17BFA29C" ma:contentTypeVersion="27" ma:contentTypeDescription="" ma:contentTypeScope="" ma:versionID="d3127cbb3676ceaf36d0cb7e074bea56">
  <xsd:schema xmlns:xsd="http://www.w3.org/2001/XMLSchema" xmlns:xs="http://www.w3.org/2001/XMLSchema" xmlns:p="http://schemas.microsoft.com/office/2006/metadata/properties" xmlns:ns2="a14523ce-dede-483e-883a-2d83261080bd" targetNamespace="http://schemas.microsoft.com/office/2006/metadata/properties" ma:root="true" ma:fieldsID="825fe1f3958d883da1c5686c302ee61c"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ec3a289c-a1b0-4779-9682-ab15160385b6}" ma:internalName="TaxCatchAll" ma:showField="CatchAllData" ma:web="a037c4b9-c17b-4356-82ca-dc45e5c28df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ec3a289c-a1b0-4779-9682-ab15160385b6}" ma:internalName="TaxCatchAllLabel" ma:readOnly="true" ma:showField="CatchAllDataLabel" ma:web="a037c4b9-c17b-4356-82ca-dc45e5c28df1">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2;#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409ac0fb-07cb-4169-8a26-def2760b5502" ContentTypeId="0x0101009BE89D58CAF0934CA32A20BCFFD353DC"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A02AEB2A-013D-4D7F-8EC1-5E620DBA378C}"/>
</file>

<file path=customXml/itemProps2.xml><?xml version="1.0" encoding="utf-8"?>
<ds:datastoreItem xmlns:ds="http://schemas.openxmlformats.org/officeDocument/2006/customXml" ds:itemID="{ABBFA0D2-AC44-44B9-904E-83D74C758E5F}"/>
</file>

<file path=customXml/itemProps3.xml><?xml version="1.0" encoding="utf-8"?>
<ds:datastoreItem xmlns:ds="http://schemas.openxmlformats.org/officeDocument/2006/customXml" ds:itemID="{545A1272-550E-4632-ABF7-2FD07D58C5D4}"/>
</file>

<file path=customXml/itemProps4.xml><?xml version="1.0" encoding="utf-8"?>
<ds:datastoreItem xmlns:ds="http://schemas.openxmlformats.org/officeDocument/2006/customXml" ds:itemID="{E21D1608-AA36-4E02-9DBC-DDACCDBC1935}"/>
</file>

<file path=customXml/itemProps5.xml><?xml version="1.0" encoding="utf-8"?>
<ds:datastoreItem xmlns:ds="http://schemas.openxmlformats.org/officeDocument/2006/customXml" ds:itemID="{0AF933A2-CEAE-4BC2-AA29-25557C31A232}"/>
</file>

<file path=customXml/itemProps6.xml><?xml version="1.0" encoding="utf-8"?>
<ds:datastoreItem xmlns:ds="http://schemas.openxmlformats.org/officeDocument/2006/customXml" ds:itemID="{B560C196-7490-48DD-BFB2-5268CEDAF43A}"/>
</file>

<file path=customXml/itemProps7.xml><?xml version="1.0" encoding="utf-8"?>
<ds:datastoreItem xmlns:ds="http://schemas.openxmlformats.org/officeDocument/2006/customXml" ds:itemID="{98713F10-80D7-4F7A-9071-7AAFB04E2B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170</vt:i4>
      </vt:variant>
    </vt:vector>
  </HeadingPairs>
  <TitlesOfParts>
    <vt:vector size="174" baseType="lpstr">
      <vt:lpstr>MCL</vt:lpstr>
      <vt:lpstr>RegionalData</vt:lpstr>
      <vt:lpstr>ParticipantData</vt:lpstr>
      <vt:lpstr>Version history</vt:lpstr>
      <vt:lpstr>GST</vt:lpstr>
      <vt:lpstr>NSW_EG</vt:lpstr>
      <vt:lpstr>NSW_EL</vt:lpstr>
      <vt:lpstr>NSW_P</vt:lpstr>
      <vt:lpstr>NSW_PCS</vt:lpstr>
      <vt:lpstr>NSW_PDS</vt:lpstr>
      <vt:lpstr>NSW_PHH</vt:lpstr>
      <vt:lpstr>NSW_PHHC100</vt:lpstr>
      <vt:lpstr>NSW_PHHC200</vt:lpstr>
      <vt:lpstr>NSW_PHHC300</vt:lpstr>
      <vt:lpstr>NSW_PRAFG</vt:lpstr>
      <vt:lpstr>NSW_PRAFL</vt:lpstr>
      <vt:lpstr>NSW_PRAFR</vt:lpstr>
      <vt:lpstr>NSW_PRAFRC100</vt:lpstr>
      <vt:lpstr>NSW_PRAFRC200</vt:lpstr>
      <vt:lpstr>NSW_PRAFRC300</vt:lpstr>
      <vt:lpstr>NSW_RC</vt:lpstr>
      <vt:lpstr>NSW_RCC100</vt:lpstr>
      <vt:lpstr>NSW_RCC200</vt:lpstr>
      <vt:lpstr>NSW_RCC300</vt:lpstr>
      <vt:lpstr>NSW_RCD</vt:lpstr>
      <vt:lpstr>NSW_RCS</vt:lpstr>
      <vt:lpstr>NSW_RD</vt:lpstr>
      <vt:lpstr>NSW_RDC100</vt:lpstr>
      <vt:lpstr>NSW_RDC200</vt:lpstr>
      <vt:lpstr>NSW_RDC300</vt:lpstr>
      <vt:lpstr>NSW_RDD</vt:lpstr>
      <vt:lpstr>NSW_RDS</vt:lpstr>
      <vt:lpstr>NSW_RLWP</vt:lpstr>
      <vt:lpstr>NSW_RLWPC100</vt:lpstr>
      <vt:lpstr>NSW_RLWPC200</vt:lpstr>
      <vt:lpstr>NSW_RLWPC300</vt:lpstr>
      <vt:lpstr>NSW_VFOSL</vt:lpstr>
      <vt:lpstr>NSW_VFPM</vt:lpstr>
      <vt:lpstr>ParticipantData!Print_Titles</vt:lpstr>
      <vt:lpstr>RegionalData!Print_Titles</vt:lpstr>
      <vt:lpstr>QLD_EG</vt:lpstr>
      <vt:lpstr>QLD_EL</vt:lpstr>
      <vt:lpstr>QLD_P</vt:lpstr>
      <vt:lpstr>QLD_PCS</vt:lpstr>
      <vt:lpstr>QLD_PDS</vt:lpstr>
      <vt:lpstr>QLD_PHH</vt:lpstr>
      <vt:lpstr>QLD_PHHC100</vt:lpstr>
      <vt:lpstr>QLD_PHHC200</vt:lpstr>
      <vt:lpstr>QLD_PHHC300</vt:lpstr>
      <vt:lpstr>QLD_PRAFG</vt:lpstr>
      <vt:lpstr>QLD_PRAFL</vt:lpstr>
      <vt:lpstr>QLD_PRAFR</vt:lpstr>
      <vt:lpstr>QLD_PRAFRC100</vt:lpstr>
      <vt:lpstr>QLD_PRAFRC200</vt:lpstr>
      <vt:lpstr>QLD_PRAFRC300</vt:lpstr>
      <vt:lpstr>QLD_RC</vt:lpstr>
      <vt:lpstr>QLD_RCC100</vt:lpstr>
      <vt:lpstr>QLD_RCC200</vt:lpstr>
      <vt:lpstr>QLD_RCC300</vt:lpstr>
      <vt:lpstr>QLD_RCD</vt:lpstr>
      <vt:lpstr>QLD_RCS</vt:lpstr>
      <vt:lpstr>QLD_RD</vt:lpstr>
      <vt:lpstr>QLD_RDC100</vt:lpstr>
      <vt:lpstr>QLD_RDC200</vt:lpstr>
      <vt:lpstr>QLD_RDC300</vt:lpstr>
      <vt:lpstr>QLD_RDD</vt:lpstr>
      <vt:lpstr>QLD_RDS</vt:lpstr>
      <vt:lpstr>QLD_RLWP</vt:lpstr>
      <vt:lpstr>QLD_RLWPC100</vt:lpstr>
      <vt:lpstr>QLD_RLWPC200</vt:lpstr>
      <vt:lpstr>QLD_RLWPC300</vt:lpstr>
      <vt:lpstr>QLD_VFOSL</vt:lpstr>
      <vt:lpstr>QLD_VFPM</vt:lpstr>
      <vt:lpstr>SA_EG</vt:lpstr>
      <vt:lpstr>SA_EL</vt:lpstr>
      <vt:lpstr>SA_P</vt:lpstr>
      <vt:lpstr>SA_PCS</vt:lpstr>
      <vt:lpstr>SA_PDS</vt:lpstr>
      <vt:lpstr>SA_PHH</vt:lpstr>
      <vt:lpstr>SA_PHHC100</vt:lpstr>
      <vt:lpstr>SA_PHHC200</vt:lpstr>
      <vt:lpstr>SA_PHHC300</vt:lpstr>
      <vt:lpstr>SA_PRAFG</vt:lpstr>
      <vt:lpstr>SA_PRAFL</vt:lpstr>
      <vt:lpstr>SA_PRAFR</vt:lpstr>
      <vt:lpstr>SA_PRAFRC100</vt:lpstr>
      <vt:lpstr>SA_PRAFRC200</vt:lpstr>
      <vt:lpstr>SA_PRAFRC300</vt:lpstr>
      <vt:lpstr>SA_RC</vt:lpstr>
      <vt:lpstr>SA_RCC100</vt:lpstr>
      <vt:lpstr>SA_RCC200</vt:lpstr>
      <vt:lpstr>SA_RCC300</vt:lpstr>
      <vt:lpstr>SA_RCD</vt:lpstr>
      <vt:lpstr>SA_RCS</vt:lpstr>
      <vt:lpstr>SA_RD</vt:lpstr>
      <vt:lpstr>SA_RDC100</vt:lpstr>
      <vt:lpstr>SA_RDC200</vt:lpstr>
      <vt:lpstr>SA_RDC300</vt:lpstr>
      <vt:lpstr>SA_RDD</vt:lpstr>
      <vt:lpstr>SA_RDS</vt:lpstr>
      <vt:lpstr>SA_RLWP</vt:lpstr>
      <vt:lpstr>SA_RLWPC100</vt:lpstr>
      <vt:lpstr>SA_RLWPC200</vt:lpstr>
      <vt:lpstr>SA_RLWPC300</vt:lpstr>
      <vt:lpstr>SA_VFOSL</vt:lpstr>
      <vt:lpstr>SA_VFPM</vt:lpstr>
      <vt:lpstr>TAS_EG</vt:lpstr>
      <vt:lpstr>TAS_EL</vt:lpstr>
      <vt:lpstr>TAS_P</vt:lpstr>
      <vt:lpstr>TAS_PCS</vt:lpstr>
      <vt:lpstr>TAS_PDS</vt:lpstr>
      <vt:lpstr>TAS_PHH</vt:lpstr>
      <vt:lpstr>TAS_PHHC100</vt:lpstr>
      <vt:lpstr>TAS_PHHC200</vt:lpstr>
      <vt:lpstr>TAS_PHHC300</vt:lpstr>
      <vt:lpstr>TAS_PRAFG</vt:lpstr>
      <vt:lpstr>TAS_PRAFL</vt:lpstr>
      <vt:lpstr>TAS_PRAFR</vt:lpstr>
      <vt:lpstr>TAS_PRAFRC100</vt:lpstr>
      <vt:lpstr>TAS_PRAFRC200</vt:lpstr>
      <vt:lpstr>TAS_PRAFRC300</vt:lpstr>
      <vt:lpstr>TAS_RC</vt:lpstr>
      <vt:lpstr>TAS_RCC100</vt:lpstr>
      <vt:lpstr>TAS_RCC200</vt:lpstr>
      <vt:lpstr>TAS_RCC300</vt:lpstr>
      <vt:lpstr>TAS_RCD</vt:lpstr>
      <vt:lpstr>TAS_RCS</vt:lpstr>
      <vt:lpstr>TAS_RD</vt:lpstr>
      <vt:lpstr>TAS_RDC100</vt:lpstr>
      <vt:lpstr>TAS_RDC200</vt:lpstr>
      <vt:lpstr>TAS_RDC300</vt:lpstr>
      <vt:lpstr>TAS_RDD</vt:lpstr>
      <vt:lpstr>TAS_RDS</vt:lpstr>
      <vt:lpstr>TAS_RLWP</vt:lpstr>
      <vt:lpstr>TAS_RLWPC100</vt:lpstr>
      <vt:lpstr>TAS_RLWPC200</vt:lpstr>
      <vt:lpstr>TAS_RLWPC300</vt:lpstr>
      <vt:lpstr>TAS_VFOSL</vt:lpstr>
      <vt:lpstr>TAS_VFPM</vt:lpstr>
      <vt:lpstr>TOSL</vt:lpstr>
      <vt:lpstr>TRP</vt:lpstr>
      <vt:lpstr>VIC_EG</vt:lpstr>
      <vt:lpstr>VIC_EL</vt:lpstr>
      <vt:lpstr>VIC_P</vt:lpstr>
      <vt:lpstr>VIC_PCS</vt:lpstr>
      <vt:lpstr>VIC_PDS</vt:lpstr>
      <vt:lpstr>VIC_PHH</vt:lpstr>
      <vt:lpstr>VIC_PHHC100</vt:lpstr>
      <vt:lpstr>VIC_PHHC200</vt:lpstr>
      <vt:lpstr>VIC_PHHC300</vt:lpstr>
      <vt:lpstr>VIC_PRAFG</vt:lpstr>
      <vt:lpstr>VIC_PRAFL</vt:lpstr>
      <vt:lpstr>VIC_PRAFR</vt:lpstr>
      <vt:lpstr>VIC_PRAFRC100</vt:lpstr>
      <vt:lpstr>VIC_PRAFRC200</vt:lpstr>
      <vt:lpstr>VIC_PRAFRC300</vt:lpstr>
      <vt:lpstr>VIC_RC</vt:lpstr>
      <vt:lpstr>VIC_RCC100</vt:lpstr>
      <vt:lpstr>VIC_RCC200</vt:lpstr>
      <vt:lpstr>VIC_RCC300</vt:lpstr>
      <vt:lpstr>VIC_RCD</vt:lpstr>
      <vt:lpstr>VIC_RCS</vt:lpstr>
      <vt:lpstr>VIC_RD</vt:lpstr>
      <vt:lpstr>VIC_RDC100</vt:lpstr>
      <vt:lpstr>VIC_RDC200</vt:lpstr>
      <vt:lpstr>VIC_RDC300</vt:lpstr>
      <vt:lpstr>VIC_RDD</vt:lpstr>
      <vt:lpstr>VIC_RDS</vt:lpstr>
      <vt:lpstr>VIC_RLWP</vt:lpstr>
      <vt:lpstr>VIC_RLWPC100</vt:lpstr>
      <vt:lpstr>VIC_RLWPC200</vt:lpstr>
      <vt:lpstr>VIC_RLWPC300</vt:lpstr>
      <vt:lpstr>VIC_VFOSL</vt:lpstr>
      <vt:lpstr>VIC_VFPM</vt:lpstr>
    </vt:vector>
  </TitlesOfParts>
  <Company>Taylor Fry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Sims</dc:creator>
  <cp:lastModifiedBy>Cheryl Huang</cp:lastModifiedBy>
  <cp:lastPrinted>2013-06-17T00:47:51Z</cp:lastPrinted>
  <dcterms:created xsi:type="dcterms:W3CDTF">2012-05-09T03:49:59Z</dcterms:created>
  <dcterms:modified xsi:type="dcterms:W3CDTF">2014-08-01T01:52:03Z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0x0101009BE89D58CAF0934CA32A20BCFFD353DC000B71F2E56E39F04BB370E2BC17BFA29C</vt:lpwstr>
  </property>
  <property fmtid="{D5CDD505-2E9C-101B-9397-08002B2CF9AE}" pid="3" name="AEMOKeywords">
    <vt:lpwstr/>
  </property>
  <property fmtid="{D5CDD505-2E9C-101B-9397-08002B2CF9AE}" pid="4" name="_dlc_DocIdItemGuid">
    <vt:lpwstr>a68fad24-153e-44a0-844d-ba67bd9ea4aa</vt:lpwstr>
  </property>
  <property fmtid="{D5CDD505-2E9C-101B-9397-08002B2CF9AE}" pid="5" name="_dlc_DocId">
    <vt:lpwstr>METERNSETTLE-76-10682</vt:lpwstr>
  </property>
  <property fmtid="{D5CDD505-2E9C-101B-9397-08002B2CF9AE}" pid="6" name="_dlc_DocIdUrl">
    <vt:lpwstr>http://sharedocs/sites/mns/NEMSettlements/_layouts/DocIdRedir.aspx?ID=METERNSETTLE-76-10682, METERNSETTLE-76-10682</vt:lpwstr>
  </property>
  <property fmtid="{D5CDD505-2E9C-101B-9397-08002B2CF9AE}" pid="7" name="AEMODocumentType">
    <vt:lpwstr>2;#Operational Record|859762f2-4462-42eb-9744-c955c7e2c540</vt:lpwstr>
  </property>
</Properties>
</file>