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fbodger\Documents\Uploads Dec 2018\"/>
    </mc:Choice>
  </mc:AlternateContent>
  <xr:revisionPtr revIDLastSave="0" documentId="8_{6CE2C520-13A2-41DB-B45C-0FE0CB32F0F7}" xr6:coauthVersionLast="31" xr6:coauthVersionMax="31" xr10:uidLastSave="{00000000-0000-0000-0000-000000000000}"/>
  <bookViews>
    <workbookView xWindow="0" yWindow="0" windowWidth="23040" windowHeight="9105" xr2:uid="{00000000-000D-0000-FFFF-FFFF00000000}"/>
  </bookViews>
  <sheets>
    <sheet name="Assumptions" sheetId="1" r:id="rId1"/>
    <sheet name="Results Summary" sheetId="11" r:id="rId2"/>
    <sheet name="Results Rank" sheetId="25" r:id="rId3"/>
    <sheet name="Benefits - Option B2" sheetId="21" r:id="rId4"/>
    <sheet name="Benefits - Option B3" sheetId="20" r:id="rId5"/>
    <sheet name="Benefits - Option B4" sheetId="26" r:id="rId6"/>
    <sheet name="Benefits - Option C1" sheetId="27" r:id="rId7"/>
    <sheet name="Benefits - Option C2" sheetId="7" r:id="rId8"/>
    <sheet name="Benefits - Option E1" sheetId="24" r:id="rId9"/>
  </sheets>
  <definedNames>
    <definedName name="Discount_rate">Assumptions!$B$4</definedName>
    <definedName name="Network_option_lifespan">Assumptions!$B$2</definedName>
    <definedName name="Network_payment_duration_years">Assumptions!$B$5</definedName>
    <definedName name="Non_network_option_lifespan">Assumptions!$B$3</definedName>
    <definedName name="Non_Network_payment_duration_years">Assumptions!$B$6</definedName>
    <definedName name="Option_B10_1_Cost">Assumptions!$C$34</definedName>
    <definedName name="Option_B10_1_Year">Assumptions!$E$34</definedName>
    <definedName name="Option_B2_Cost">Assumptions!$C$29</definedName>
    <definedName name="Option_B2_Year">Assumptions!$E$29</definedName>
    <definedName name="Option_B3_Cost">Assumptions!$C$30</definedName>
    <definedName name="Option_B3_Year">Assumptions!$E$30</definedName>
    <definedName name="Option_B4_Cost">Assumptions!$C$31</definedName>
    <definedName name="Option_B4_Year">Assumptions!$E$31</definedName>
    <definedName name="Option_C1_Cost">Assumptions!$C$32</definedName>
    <definedName name="Option_C1_Year">Assumptions!$E$32</definedName>
    <definedName name="Option_C2_PresentCost">Assumptions!$C$33</definedName>
    <definedName name="Option_C2_Year">Assumptions!$E$33</definedName>
    <definedName name="Option_RC_Bu_year">Assumptions!#REF!</definedName>
    <definedName name="Option_RCTS_Bur_cost">Assumptions!#REF!</definedName>
    <definedName name="Snowylink_Year">Assumptions!$E$36</definedName>
    <definedName name="Snowylink1_Cost">Assumptions!$C$35</definedName>
    <definedName name="Snowylink2_Cost">Assumptions!$C$36</definedName>
    <definedName name="VCR_GWh">Assumptions!#REF!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6" l="1"/>
  <c r="E47" i="26"/>
  <c r="B20" i="26" s="1"/>
  <c r="B19" i="26"/>
  <c r="K31" i="20"/>
  <c r="K32" i="20"/>
  <c r="L32" i="20" s="1"/>
  <c r="K33" i="20"/>
  <c r="L33" i="20" s="1"/>
  <c r="K34" i="20"/>
  <c r="L34" i="20" s="1"/>
  <c r="K35" i="20"/>
  <c r="K36" i="20"/>
  <c r="L36" i="20" s="1"/>
  <c r="K37" i="20"/>
  <c r="L37" i="20" s="1"/>
  <c r="K38" i="20"/>
  <c r="L38" i="20" s="1"/>
  <c r="K39" i="20"/>
  <c r="L39" i="20" s="1"/>
  <c r="K40" i="20"/>
  <c r="L40" i="20" s="1"/>
  <c r="K41" i="20"/>
  <c r="L41" i="20" s="1"/>
  <c r="K42" i="20"/>
  <c r="K43" i="20"/>
  <c r="D43" i="20"/>
  <c r="L31" i="20"/>
  <c r="L35" i="20"/>
  <c r="L42" i="20"/>
  <c r="L43" i="20"/>
  <c r="C41" i="21"/>
  <c r="C42" i="21"/>
  <c r="C43" i="21"/>
  <c r="C44" i="21" s="1"/>
  <c r="C72" i="21"/>
  <c r="C31" i="21"/>
  <c r="C32" i="21"/>
  <c r="C33" i="21"/>
  <c r="C34" i="21"/>
  <c r="C35" i="21"/>
  <c r="C36" i="21"/>
  <c r="C37" i="21"/>
  <c r="C38" i="21"/>
  <c r="C39" i="21"/>
  <c r="C40" i="21"/>
  <c r="D31" i="21"/>
  <c r="D32" i="21"/>
  <c r="E32" i="21" s="1"/>
  <c r="D33" i="21"/>
  <c r="D34" i="21"/>
  <c r="E34" i="21" s="1"/>
  <c r="D35" i="21"/>
  <c r="E35" i="21" s="1"/>
  <c r="D36" i="21"/>
  <c r="E36" i="21" s="1"/>
  <c r="D37" i="21"/>
  <c r="E37" i="21" s="1"/>
  <c r="D38" i="21"/>
  <c r="E38" i="21" s="1"/>
  <c r="D39" i="21"/>
  <c r="E39" i="21" s="1"/>
  <c r="D40" i="21"/>
  <c r="E40" i="21" s="1"/>
  <c r="D41" i="21"/>
  <c r="E41" i="21" s="1"/>
  <c r="D42" i="21"/>
  <c r="E42" i="21" s="1"/>
  <c r="D43" i="21"/>
  <c r="E31" i="21"/>
  <c r="E47" i="21"/>
  <c r="B20" i="21"/>
  <c r="B19" i="21"/>
  <c r="X41" i="21"/>
  <c r="X42" i="21"/>
  <c r="X43" i="21"/>
  <c r="X72" i="21"/>
  <c r="X31" i="21"/>
  <c r="X32" i="21"/>
  <c r="X33" i="21"/>
  <c r="X34" i="21"/>
  <c r="X35" i="21"/>
  <c r="X36" i="21"/>
  <c r="X37" i="21"/>
  <c r="X38" i="21"/>
  <c r="X39" i="21"/>
  <c r="X40" i="21"/>
  <c r="Y31" i="21"/>
  <c r="Y32" i="21"/>
  <c r="Y33" i="21"/>
  <c r="Z33" i="21" s="1"/>
  <c r="Y34" i="21"/>
  <c r="Z34" i="21" s="1"/>
  <c r="Y35" i="21"/>
  <c r="Z35" i="21" s="1"/>
  <c r="Y36" i="21"/>
  <c r="Z36" i="21" s="1"/>
  <c r="Y37" i="21"/>
  <c r="Z37" i="21" s="1"/>
  <c r="Y38" i="21"/>
  <c r="Z38" i="21" s="1"/>
  <c r="Y39" i="21"/>
  <c r="Z39" i="21" s="1"/>
  <c r="Y40" i="21"/>
  <c r="Z40" i="21" s="1"/>
  <c r="Y41" i="21"/>
  <c r="Z41" i="21" s="1"/>
  <c r="Y42" i="21"/>
  <c r="Y43" i="21"/>
  <c r="Z42" i="21"/>
  <c r="Z43" i="21"/>
  <c r="Q41" i="21"/>
  <c r="Q42" i="21"/>
  <c r="Q43" i="21"/>
  <c r="Q44" i="21"/>
  <c r="Q72" i="21"/>
  <c r="Q31" i="21"/>
  <c r="Q32" i="21"/>
  <c r="Q33" i="21"/>
  <c r="Q34" i="21"/>
  <c r="Q35" i="21"/>
  <c r="Q36" i="21"/>
  <c r="Q37" i="21"/>
  <c r="Q38" i="21"/>
  <c r="Q39" i="21"/>
  <c r="Q40" i="21"/>
  <c r="Q25" i="21"/>
  <c r="R31" i="21"/>
  <c r="S31" i="21" s="1"/>
  <c r="R32" i="21"/>
  <c r="R33" i="21"/>
  <c r="R34" i="21"/>
  <c r="R35" i="21"/>
  <c r="S35" i="21" s="1"/>
  <c r="R36" i="21"/>
  <c r="S36" i="21" s="1"/>
  <c r="R37" i="21"/>
  <c r="S37" i="21" s="1"/>
  <c r="R38" i="21"/>
  <c r="S38" i="21" s="1"/>
  <c r="R39" i="21"/>
  <c r="S39" i="21" s="1"/>
  <c r="R40" i="21"/>
  <c r="R41" i="21"/>
  <c r="S41" i="21" s="1"/>
  <c r="R42" i="21"/>
  <c r="S42" i="21" s="1"/>
  <c r="R43" i="21"/>
  <c r="S43" i="21" s="1"/>
  <c r="S32" i="21"/>
  <c r="S33" i="21"/>
  <c r="S34" i="21"/>
  <c r="S40" i="21"/>
  <c r="J41" i="21"/>
  <c r="J42" i="21"/>
  <c r="J43" i="21"/>
  <c r="J44" i="21"/>
  <c r="J72" i="21"/>
  <c r="J31" i="21"/>
  <c r="J32" i="21"/>
  <c r="J33" i="21"/>
  <c r="J34" i="21"/>
  <c r="J35" i="21"/>
  <c r="J36" i="21"/>
  <c r="J37" i="21"/>
  <c r="J38" i="21"/>
  <c r="J39" i="21"/>
  <c r="J40" i="21"/>
  <c r="J25" i="21"/>
  <c r="K31" i="21"/>
  <c r="K32" i="21"/>
  <c r="K33" i="21"/>
  <c r="L33" i="21" s="1"/>
  <c r="K34" i="21"/>
  <c r="K35" i="21"/>
  <c r="K36" i="21"/>
  <c r="L36" i="21" s="1"/>
  <c r="K37" i="21"/>
  <c r="L37" i="21" s="1"/>
  <c r="K38" i="21"/>
  <c r="L38" i="21" s="1"/>
  <c r="K39" i="21"/>
  <c r="K40" i="21"/>
  <c r="K41" i="21"/>
  <c r="L41" i="21" s="1"/>
  <c r="K42" i="21"/>
  <c r="L42" i="21" s="1"/>
  <c r="K43" i="21"/>
  <c r="L31" i="21"/>
  <c r="L32" i="21"/>
  <c r="L35" i="21"/>
  <c r="L39" i="21"/>
  <c r="L40" i="21"/>
  <c r="L43" i="21"/>
  <c r="B13" i="21"/>
  <c r="C13" i="21"/>
  <c r="D13" i="21"/>
  <c r="E13" i="21"/>
  <c r="B12" i="21"/>
  <c r="C12" i="21"/>
  <c r="D12" i="21"/>
  <c r="J20" i="21" s="1"/>
  <c r="E12" i="21"/>
  <c r="B11" i="21"/>
  <c r="C11" i="21"/>
  <c r="D11" i="21"/>
  <c r="E11" i="21"/>
  <c r="B21" i="1"/>
  <c r="B10" i="26" s="1"/>
  <c r="C21" i="1"/>
  <c r="C10" i="20" s="1"/>
  <c r="D21" i="1"/>
  <c r="E21" i="1"/>
  <c r="C22" i="21"/>
  <c r="B22" i="21"/>
  <c r="J21" i="21"/>
  <c r="C21" i="21"/>
  <c r="B21" i="21"/>
  <c r="C20" i="21"/>
  <c r="C19" i="21"/>
  <c r="C18" i="21"/>
  <c r="B18" i="21"/>
  <c r="C17" i="21"/>
  <c r="B17" i="21"/>
  <c r="B16" i="21"/>
  <c r="C15" i="21"/>
  <c r="X41" i="26"/>
  <c r="X42" i="26"/>
  <c r="X43" i="26"/>
  <c r="X44" i="26"/>
  <c r="X72" i="26"/>
  <c r="X31" i="26"/>
  <c r="X32" i="26"/>
  <c r="X33" i="26"/>
  <c r="X34" i="26"/>
  <c r="X35" i="26"/>
  <c r="X36" i="26"/>
  <c r="X37" i="26"/>
  <c r="X38" i="26"/>
  <c r="X39" i="26"/>
  <c r="X40" i="26"/>
  <c r="Y31" i="26"/>
  <c r="Z31" i="26" s="1"/>
  <c r="Y32" i="26"/>
  <c r="Z32" i="26" s="1"/>
  <c r="Y33" i="26"/>
  <c r="Z33" i="26" s="1"/>
  <c r="Y34" i="26"/>
  <c r="Z34" i="26" s="1"/>
  <c r="Y35" i="26"/>
  <c r="Z35" i="26" s="1"/>
  <c r="Y36" i="26"/>
  <c r="Z36" i="26" s="1"/>
  <c r="Y37" i="26"/>
  <c r="Z37" i="26" s="1"/>
  <c r="Y38" i="26"/>
  <c r="Z38" i="26" s="1"/>
  <c r="Y39" i="26"/>
  <c r="Z39" i="26" s="1"/>
  <c r="Y40" i="26"/>
  <c r="Z40" i="26" s="1"/>
  <c r="Y41" i="26"/>
  <c r="Z41" i="26" s="1"/>
  <c r="Y42" i="26"/>
  <c r="Z42" i="26" s="1"/>
  <c r="Y43" i="26"/>
  <c r="Z43" i="26" s="1"/>
  <c r="D43" i="26"/>
  <c r="Q41" i="26"/>
  <c r="Q44" i="26" s="1"/>
  <c r="Q42" i="26"/>
  <c r="Q43" i="26"/>
  <c r="Q72" i="26"/>
  <c r="Q31" i="26"/>
  <c r="Q32" i="26"/>
  <c r="Q33" i="26"/>
  <c r="Q34" i="26"/>
  <c r="Q35" i="26"/>
  <c r="Q36" i="26"/>
  <c r="Q37" i="26"/>
  <c r="Q38" i="26"/>
  <c r="Q39" i="26"/>
  <c r="Q40" i="26"/>
  <c r="R31" i="26"/>
  <c r="S31" i="26" s="1"/>
  <c r="R32" i="26"/>
  <c r="R33" i="26"/>
  <c r="R34" i="26"/>
  <c r="R35" i="26"/>
  <c r="S35" i="26" s="1"/>
  <c r="R36" i="26"/>
  <c r="S36" i="26" s="1"/>
  <c r="R37" i="26"/>
  <c r="R38" i="26"/>
  <c r="S38" i="26" s="1"/>
  <c r="R39" i="26"/>
  <c r="S39" i="26" s="1"/>
  <c r="R40" i="26"/>
  <c r="R41" i="26"/>
  <c r="S41" i="26" s="1"/>
  <c r="R42" i="26"/>
  <c r="S42" i="26" s="1"/>
  <c r="R43" i="26"/>
  <c r="S43" i="26" s="1"/>
  <c r="S32" i="26"/>
  <c r="S33" i="26"/>
  <c r="S34" i="26"/>
  <c r="S37" i="26"/>
  <c r="S40" i="26"/>
  <c r="J41" i="26"/>
  <c r="J44" i="26" s="1"/>
  <c r="J42" i="26"/>
  <c r="J43" i="26"/>
  <c r="J72" i="26"/>
  <c r="J31" i="26"/>
  <c r="J32" i="26"/>
  <c r="J33" i="26"/>
  <c r="J34" i="26"/>
  <c r="J35" i="26"/>
  <c r="J36" i="26"/>
  <c r="J37" i="26"/>
  <c r="J38" i="26"/>
  <c r="J39" i="26"/>
  <c r="J40" i="26"/>
  <c r="K31" i="26"/>
  <c r="L31" i="26" s="1"/>
  <c r="K32" i="26"/>
  <c r="K33" i="26"/>
  <c r="L33" i="26" s="1"/>
  <c r="K34" i="26"/>
  <c r="K35" i="26"/>
  <c r="L35" i="26" s="1"/>
  <c r="K36" i="26"/>
  <c r="K37" i="26"/>
  <c r="L37" i="26" s="1"/>
  <c r="K38" i="26"/>
  <c r="K39" i="26"/>
  <c r="K40" i="26"/>
  <c r="K41" i="26"/>
  <c r="L41" i="26" s="1"/>
  <c r="K42" i="26"/>
  <c r="L42" i="26" s="1"/>
  <c r="K43" i="26"/>
  <c r="L32" i="26"/>
  <c r="L36" i="26"/>
  <c r="L38" i="26"/>
  <c r="L39" i="26"/>
  <c r="L40" i="26"/>
  <c r="L43" i="26"/>
  <c r="C41" i="26"/>
  <c r="C42" i="26"/>
  <c r="C43" i="26"/>
  <c r="C72" i="26"/>
  <c r="C31" i="26"/>
  <c r="C32" i="26"/>
  <c r="C33" i="26"/>
  <c r="C34" i="26"/>
  <c r="C35" i="26"/>
  <c r="C36" i="26"/>
  <c r="C37" i="26"/>
  <c r="C38" i="26"/>
  <c r="C39" i="26"/>
  <c r="C40" i="26"/>
  <c r="D31" i="26"/>
  <c r="D32" i="26"/>
  <c r="E32" i="26" s="1"/>
  <c r="D33" i="26"/>
  <c r="D34" i="26"/>
  <c r="E34" i="26" s="1"/>
  <c r="D35" i="26"/>
  <c r="D36" i="26"/>
  <c r="E36" i="26" s="1"/>
  <c r="D37" i="26"/>
  <c r="E37" i="26" s="1"/>
  <c r="D38" i="26"/>
  <c r="E38" i="26" s="1"/>
  <c r="D39" i="26"/>
  <c r="D40" i="26"/>
  <c r="E40" i="26" s="1"/>
  <c r="D41" i="26"/>
  <c r="D42" i="26"/>
  <c r="E42" i="26" s="1"/>
  <c r="E31" i="26"/>
  <c r="E33" i="26"/>
  <c r="E35" i="26"/>
  <c r="E39" i="26"/>
  <c r="E41" i="26"/>
  <c r="B13" i="26"/>
  <c r="K19" i="26" s="1"/>
  <c r="C13" i="26"/>
  <c r="D13" i="26"/>
  <c r="E13" i="26"/>
  <c r="B12" i="26"/>
  <c r="J18" i="26" s="1"/>
  <c r="C12" i="26"/>
  <c r="D12" i="26"/>
  <c r="E12" i="26"/>
  <c r="J22" i="26"/>
  <c r="B11" i="26"/>
  <c r="C11" i="26"/>
  <c r="D11" i="26"/>
  <c r="E11" i="26"/>
  <c r="I19" i="26" s="1"/>
  <c r="C22" i="26"/>
  <c r="B22" i="26"/>
  <c r="C21" i="26"/>
  <c r="B21" i="26"/>
  <c r="C20" i="26"/>
  <c r="C19" i="26"/>
  <c r="C18" i="26"/>
  <c r="B18" i="26"/>
  <c r="C17" i="26"/>
  <c r="B17" i="26"/>
  <c r="B16" i="26"/>
  <c r="C15" i="26"/>
  <c r="D31" i="20"/>
  <c r="C4" i="21"/>
  <c r="B22" i="20"/>
  <c r="D32" i="20"/>
  <c r="D33" i="20"/>
  <c r="E33" i="20" s="1"/>
  <c r="D34" i="20"/>
  <c r="E34" i="20" s="1"/>
  <c r="D35" i="20"/>
  <c r="E35" i="20" s="1"/>
  <c r="D36" i="20"/>
  <c r="E36" i="20" s="1"/>
  <c r="D37" i="20"/>
  <c r="D38" i="20"/>
  <c r="E38" i="20" s="1"/>
  <c r="D39" i="20"/>
  <c r="D40" i="20"/>
  <c r="E40" i="20" s="1"/>
  <c r="D41" i="20"/>
  <c r="D42" i="20"/>
  <c r="E42" i="20" s="1"/>
  <c r="E31" i="20"/>
  <c r="E37" i="20"/>
  <c r="E39" i="20"/>
  <c r="E41" i="20"/>
  <c r="C41" i="20"/>
  <c r="C42" i="20"/>
  <c r="C43" i="20"/>
  <c r="C72" i="20"/>
  <c r="C31" i="20"/>
  <c r="C32" i="20"/>
  <c r="C33" i="20"/>
  <c r="C34" i="20"/>
  <c r="C35" i="20"/>
  <c r="C36" i="20"/>
  <c r="C37" i="20"/>
  <c r="C38" i="20"/>
  <c r="C39" i="20"/>
  <c r="C40" i="20"/>
  <c r="X41" i="7"/>
  <c r="X42" i="7"/>
  <c r="X43" i="7"/>
  <c r="X73" i="7"/>
  <c r="X64" i="7"/>
  <c r="Z64" i="7" s="1"/>
  <c r="X65" i="7"/>
  <c r="X66" i="7"/>
  <c r="Z66" i="7" s="1"/>
  <c r="X67" i="7"/>
  <c r="Z67" i="7" s="1"/>
  <c r="X68" i="7"/>
  <c r="X69" i="7"/>
  <c r="X70" i="7" s="1"/>
  <c r="Y47" i="7"/>
  <c r="X31" i="7"/>
  <c r="X32" i="7"/>
  <c r="X33" i="7"/>
  <c r="X34" i="7"/>
  <c r="X35" i="7"/>
  <c r="X36" i="7"/>
  <c r="X37" i="7"/>
  <c r="X38" i="7"/>
  <c r="X39" i="7"/>
  <c r="X40" i="7"/>
  <c r="X69" i="27"/>
  <c r="X68" i="27"/>
  <c r="X67" i="27"/>
  <c r="Z67" i="27" s="1"/>
  <c r="X66" i="27"/>
  <c r="X65" i="27"/>
  <c r="X64" i="27"/>
  <c r="Q69" i="27"/>
  <c r="Q70" i="27" s="1"/>
  <c r="Q68" i="27"/>
  <c r="S68" i="27" s="1"/>
  <c r="Q67" i="27"/>
  <c r="Q66" i="27"/>
  <c r="S66" i="27" s="1"/>
  <c r="Q65" i="27"/>
  <c r="S65" i="27" s="1"/>
  <c r="Q64" i="27"/>
  <c r="S64" i="27" s="1"/>
  <c r="J69" i="27"/>
  <c r="J70" i="27" s="1"/>
  <c r="J68" i="27"/>
  <c r="L68" i="27" s="1"/>
  <c r="J67" i="27"/>
  <c r="L67" i="27" s="1"/>
  <c r="J66" i="27"/>
  <c r="L66" i="27" s="1"/>
  <c r="J65" i="27"/>
  <c r="L65" i="27" s="1"/>
  <c r="J64" i="27"/>
  <c r="L64" i="27" s="1"/>
  <c r="C65" i="27"/>
  <c r="C66" i="27"/>
  <c r="E66" i="27" s="1"/>
  <c r="C67" i="27"/>
  <c r="C68" i="27"/>
  <c r="E68" i="27" s="1"/>
  <c r="C69" i="27"/>
  <c r="E69" i="27" s="1"/>
  <c r="C64" i="27"/>
  <c r="D31" i="7"/>
  <c r="E31" i="7" s="1"/>
  <c r="D32" i="7"/>
  <c r="D33" i="7"/>
  <c r="E33" i="7" s="1"/>
  <c r="D34" i="7"/>
  <c r="E34" i="7" s="1"/>
  <c r="D35" i="7"/>
  <c r="E35" i="7" s="1"/>
  <c r="D36" i="7"/>
  <c r="E36" i="7" s="1"/>
  <c r="D37" i="7"/>
  <c r="E37" i="7" s="1"/>
  <c r="D38" i="7"/>
  <c r="E38" i="7" s="1"/>
  <c r="D39" i="7"/>
  <c r="D40" i="7"/>
  <c r="E40" i="7" s="1"/>
  <c r="D41" i="7"/>
  <c r="E41" i="7" s="1"/>
  <c r="D42" i="7"/>
  <c r="E42" i="7" s="1"/>
  <c r="D43" i="7"/>
  <c r="E43" i="7" s="1"/>
  <c r="E39" i="7"/>
  <c r="C41" i="7"/>
  <c r="C42" i="7"/>
  <c r="C43" i="7"/>
  <c r="C73" i="7"/>
  <c r="C64" i="7"/>
  <c r="E64" i="7" s="1"/>
  <c r="C65" i="7"/>
  <c r="E65" i="7" s="1"/>
  <c r="C66" i="7"/>
  <c r="C67" i="7"/>
  <c r="E67" i="7" s="1"/>
  <c r="C68" i="7"/>
  <c r="E68" i="7" s="1"/>
  <c r="C69" i="7"/>
  <c r="C70" i="7" s="1"/>
  <c r="D47" i="7"/>
  <c r="C31" i="7"/>
  <c r="C32" i="7"/>
  <c r="C33" i="7"/>
  <c r="C34" i="7"/>
  <c r="C35" i="7"/>
  <c r="C36" i="7"/>
  <c r="C37" i="7"/>
  <c r="C38" i="7"/>
  <c r="C39" i="7"/>
  <c r="C40" i="7"/>
  <c r="Q69" i="7"/>
  <c r="Q68" i="7"/>
  <c r="S68" i="7" s="1"/>
  <c r="Q67" i="7"/>
  <c r="Q66" i="7"/>
  <c r="S66" i="7" s="1"/>
  <c r="Q65" i="7"/>
  <c r="Q64" i="7"/>
  <c r="J69" i="7"/>
  <c r="L69" i="7" s="1"/>
  <c r="L70" i="7" s="1"/>
  <c r="J70" i="7"/>
  <c r="J68" i="7"/>
  <c r="L68" i="7" s="1"/>
  <c r="J67" i="7"/>
  <c r="L67" i="7" s="1"/>
  <c r="J66" i="7"/>
  <c r="L66" i="7" s="1"/>
  <c r="J65" i="7"/>
  <c r="L65" i="7" s="1"/>
  <c r="J64" i="7"/>
  <c r="L64" i="7" s="1"/>
  <c r="Y31" i="7"/>
  <c r="Y32" i="7"/>
  <c r="Z32" i="7" s="1"/>
  <c r="Y33" i="7"/>
  <c r="Z33" i="7" s="1"/>
  <c r="Y34" i="7"/>
  <c r="Z34" i="7" s="1"/>
  <c r="Y35" i="7"/>
  <c r="Z35" i="7" s="1"/>
  <c r="Y36" i="7"/>
  <c r="Z36" i="7" s="1"/>
  <c r="Y37" i="7"/>
  <c r="Z37" i="7" s="1"/>
  <c r="Y38" i="7"/>
  <c r="Y39" i="7"/>
  <c r="Z39" i="7" s="1"/>
  <c r="Y40" i="7"/>
  <c r="Z40" i="7" s="1"/>
  <c r="Y41" i="7"/>
  <c r="Z41" i="7" s="1"/>
  <c r="Y42" i="7"/>
  <c r="Y43" i="7"/>
  <c r="Z43" i="7" s="1"/>
  <c r="Z38" i="7"/>
  <c r="Z42" i="7"/>
  <c r="R47" i="7"/>
  <c r="Q41" i="7"/>
  <c r="Q42" i="7"/>
  <c r="Q43" i="7"/>
  <c r="Q73" i="7"/>
  <c r="Q31" i="7"/>
  <c r="Q32" i="7"/>
  <c r="Q33" i="7"/>
  <c r="Q34" i="7"/>
  <c r="Q35" i="7"/>
  <c r="Q36" i="7"/>
  <c r="Q37" i="7"/>
  <c r="Q38" i="7"/>
  <c r="Q39" i="7"/>
  <c r="Q40" i="7"/>
  <c r="K47" i="7"/>
  <c r="J41" i="7"/>
  <c r="J42" i="7"/>
  <c r="J43" i="7"/>
  <c r="J44" i="7"/>
  <c r="J73" i="7"/>
  <c r="J31" i="7"/>
  <c r="J32" i="7"/>
  <c r="J33" i="7"/>
  <c r="J34" i="7"/>
  <c r="J35" i="7"/>
  <c r="J36" i="7"/>
  <c r="J37" i="7"/>
  <c r="J38" i="7"/>
  <c r="J39" i="7"/>
  <c r="J40" i="7"/>
  <c r="D31" i="24"/>
  <c r="D32" i="24"/>
  <c r="D33" i="24"/>
  <c r="D34" i="24"/>
  <c r="E34" i="24" s="1"/>
  <c r="D35" i="24"/>
  <c r="D36" i="24"/>
  <c r="D37" i="24"/>
  <c r="D38" i="24"/>
  <c r="E38" i="24" s="1"/>
  <c r="D39" i="24"/>
  <c r="D40" i="24"/>
  <c r="D41" i="24"/>
  <c r="D42" i="24"/>
  <c r="E42" i="24" s="1"/>
  <c r="D43" i="24"/>
  <c r="X41" i="24"/>
  <c r="X42" i="24"/>
  <c r="X43" i="24"/>
  <c r="Z43" i="24" s="1"/>
  <c r="X31" i="24"/>
  <c r="X32" i="24"/>
  <c r="X33" i="24"/>
  <c r="X34" i="24"/>
  <c r="X35" i="24"/>
  <c r="X36" i="24"/>
  <c r="X37" i="24"/>
  <c r="Z37" i="24" s="1"/>
  <c r="X38" i="24"/>
  <c r="X39" i="24"/>
  <c r="X40" i="24"/>
  <c r="Q41" i="24"/>
  <c r="Q42" i="24"/>
  <c r="Q43" i="24"/>
  <c r="Q31" i="24"/>
  <c r="Q32" i="24"/>
  <c r="Q33" i="24"/>
  <c r="Q34" i="24"/>
  <c r="Q35" i="24"/>
  <c r="Q36" i="24"/>
  <c r="Q37" i="24"/>
  <c r="Q38" i="24"/>
  <c r="S38" i="24" s="1"/>
  <c r="Q39" i="24"/>
  <c r="Q40" i="24"/>
  <c r="J41" i="24"/>
  <c r="J42" i="24"/>
  <c r="J43" i="24"/>
  <c r="J31" i="24"/>
  <c r="J32" i="24"/>
  <c r="J33" i="24"/>
  <c r="L33" i="24" s="1"/>
  <c r="J34" i="24"/>
  <c r="J35" i="24"/>
  <c r="J36" i="24"/>
  <c r="J37" i="24"/>
  <c r="L37" i="24" s="1"/>
  <c r="J38" i="24"/>
  <c r="J39" i="24"/>
  <c r="J40" i="24"/>
  <c r="C41" i="24"/>
  <c r="C42" i="24"/>
  <c r="C43" i="24"/>
  <c r="C31" i="24"/>
  <c r="C32" i="24"/>
  <c r="E32" i="24" s="1"/>
  <c r="C33" i="24"/>
  <c r="C34" i="24"/>
  <c r="C35" i="24"/>
  <c r="E35" i="24" s="1"/>
  <c r="C36" i="24"/>
  <c r="E36" i="24" s="1"/>
  <c r="C37" i="24"/>
  <c r="C38" i="24"/>
  <c r="C39" i="24"/>
  <c r="C40" i="24"/>
  <c r="E40" i="24" s="1"/>
  <c r="C3" i="26"/>
  <c r="AA104" i="24"/>
  <c r="Z104" i="24"/>
  <c r="Y104" i="24"/>
  <c r="X104" i="24"/>
  <c r="W104" i="24"/>
  <c r="T104" i="24"/>
  <c r="S104" i="24"/>
  <c r="R104" i="24"/>
  <c r="Q104" i="24"/>
  <c r="P104" i="24"/>
  <c r="M104" i="24"/>
  <c r="L104" i="24"/>
  <c r="K104" i="24"/>
  <c r="J104" i="24"/>
  <c r="I104" i="24"/>
  <c r="F104" i="24"/>
  <c r="E104" i="24"/>
  <c r="D104" i="24"/>
  <c r="C104" i="24"/>
  <c r="B104" i="24"/>
  <c r="X72" i="24"/>
  <c r="Q72" i="24"/>
  <c r="J72" i="24"/>
  <c r="C72" i="24"/>
  <c r="Z47" i="24"/>
  <c r="S47" i="24"/>
  <c r="L47" i="24"/>
  <c r="E47" i="24"/>
  <c r="B19" i="24"/>
  <c r="Y43" i="24"/>
  <c r="R43" i="24"/>
  <c r="S43" i="24" s="1"/>
  <c r="K43" i="24"/>
  <c r="Y42" i="24"/>
  <c r="Z42" i="24" s="1"/>
  <c r="R42" i="24"/>
  <c r="K42" i="24"/>
  <c r="L42" i="24" s="1"/>
  <c r="Y41" i="24"/>
  <c r="Z41" i="24" s="1"/>
  <c r="R41" i="24"/>
  <c r="S41" i="24" s="1"/>
  <c r="K41" i="24"/>
  <c r="Y40" i="24"/>
  <c r="R40" i="24"/>
  <c r="K40" i="24"/>
  <c r="Y39" i="24"/>
  <c r="R39" i="24"/>
  <c r="S39" i="24"/>
  <c r="K39" i="24"/>
  <c r="Y38" i="24"/>
  <c r="Z38" i="24" s="1"/>
  <c r="R38" i="24"/>
  <c r="K38" i="24"/>
  <c r="L38" i="24"/>
  <c r="Y37" i="24"/>
  <c r="R37" i="24"/>
  <c r="K37" i="24"/>
  <c r="Y36" i="24"/>
  <c r="R36" i="24"/>
  <c r="K36" i="24"/>
  <c r="Y35" i="24"/>
  <c r="R35" i="24"/>
  <c r="S35" i="24" s="1"/>
  <c r="K35" i="24"/>
  <c r="Y34" i="24"/>
  <c r="R34" i="24"/>
  <c r="K34" i="24"/>
  <c r="L34" i="24"/>
  <c r="Y33" i="24"/>
  <c r="Z33" i="24" s="1"/>
  <c r="R33" i="24"/>
  <c r="K33" i="24"/>
  <c r="Y32" i="24"/>
  <c r="R32" i="24"/>
  <c r="K32" i="24"/>
  <c r="Y31" i="24"/>
  <c r="R31" i="24"/>
  <c r="S31" i="24" s="1"/>
  <c r="K31" i="24"/>
  <c r="C22" i="24"/>
  <c r="B22" i="24"/>
  <c r="C21" i="24"/>
  <c r="B21" i="24"/>
  <c r="C20" i="24"/>
  <c r="C19" i="24"/>
  <c r="C18" i="24"/>
  <c r="B18" i="24"/>
  <c r="C17" i="24"/>
  <c r="B17" i="24"/>
  <c r="B16" i="24"/>
  <c r="C15" i="24"/>
  <c r="F24" i="1"/>
  <c r="F13" i="21" s="1"/>
  <c r="E13" i="24"/>
  <c r="K19" i="24" s="1"/>
  <c r="D13" i="24"/>
  <c r="C13" i="24"/>
  <c r="B13" i="24"/>
  <c r="A13" i="24"/>
  <c r="F23" i="1"/>
  <c r="F12" i="27" s="1"/>
  <c r="E12" i="24"/>
  <c r="D12" i="24"/>
  <c r="C12" i="24"/>
  <c r="J19" i="24" s="1"/>
  <c r="B12" i="24"/>
  <c r="A12" i="24"/>
  <c r="F22" i="1"/>
  <c r="F11" i="7" s="1"/>
  <c r="E11" i="24"/>
  <c r="I17" i="24" s="1"/>
  <c r="D11" i="24"/>
  <c r="C11" i="24"/>
  <c r="B11" i="24"/>
  <c r="A11" i="24"/>
  <c r="E10" i="24"/>
  <c r="A10" i="24"/>
  <c r="F9" i="24"/>
  <c r="E9" i="24"/>
  <c r="D9" i="24"/>
  <c r="C9" i="24"/>
  <c r="B9" i="24"/>
  <c r="A9" i="24"/>
  <c r="C4" i="24"/>
  <c r="C3" i="24"/>
  <c r="C2" i="24"/>
  <c r="AA106" i="7"/>
  <c r="Z106" i="7"/>
  <c r="Y106" i="7"/>
  <c r="X106" i="7"/>
  <c r="W106" i="7"/>
  <c r="T106" i="7"/>
  <c r="S106" i="7"/>
  <c r="R106" i="7"/>
  <c r="Q106" i="7"/>
  <c r="P106" i="7"/>
  <c r="M106" i="7"/>
  <c r="L106" i="7"/>
  <c r="K106" i="7"/>
  <c r="J106" i="7"/>
  <c r="I106" i="7"/>
  <c r="F106" i="7"/>
  <c r="E106" i="7"/>
  <c r="D106" i="7"/>
  <c r="C106" i="7"/>
  <c r="B106" i="7"/>
  <c r="Y70" i="7"/>
  <c r="R70" i="7"/>
  <c r="K70" i="7"/>
  <c r="D70" i="7"/>
  <c r="Z68" i="7"/>
  <c r="S67" i="7"/>
  <c r="E66" i="7"/>
  <c r="S65" i="7"/>
  <c r="Z63" i="7"/>
  <c r="S63" i="7"/>
  <c r="L63" i="7"/>
  <c r="E63" i="7"/>
  <c r="Z62" i="7"/>
  <c r="S62" i="7"/>
  <c r="L62" i="7"/>
  <c r="E62" i="7"/>
  <c r="Z61" i="7"/>
  <c r="S61" i="7"/>
  <c r="L61" i="7"/>
  <c r="E61" i="7"/>
  <c r="Z60" i="7"/>
  <c r="S60" i="7"/>
  <c r="L60" i="7"/>
  <c r="E60" i="7"/>
  <c r="Z59" i="7"/>
  <c r="S59" i="7"/>
  <c r="L59" i="7"/>
  <c r="E59" i="7"/>
  <c r="Z58" i="7"/>
  <c r="S58" i="7"/>
  <c r="L58" i="7"/>
  <c r="E58" i="7"/>
  <c r="Z57" i="7"/>
  <c r="S57" i="7"/>
  <c r="L57" i="7"/>
  <c r="E57" i="7"/>
  <c r="Z56" i="7"/>
  <c r="S56" i="7"/>
  <c r="L56" i="7"/>
  <c r="E56" i="7"/>
  <c r="Z55" i="7"/>
  <c r="S55" i="7"/>
  <c r="L55" i="7"/>
  <c r="E55" i="7"/>
  <c r="Z54" i="7"/>
  <c r="S54" i="7"/>
  <c r="L54" i="7"/>
  <c r="E54" i="7"/>
  <c r="Z53" i="7"/>
  <c r="S53" i="7"/>
  <c r="L53" i="7"/>
  <c r="E53" i="7"/>
  <c r="Z52" i="7"/>
  <c r="S52" i="7"/>
  <c r="L52" i="7"/>
  <c r="E52" i="7"/>
  <c r="Z51" i="7"/>
  <c r="S51" i="7"/>
  <c r="L51" i="7"/>
  <c r="E51" i="7"/>
  <c r="Z50" i="7"/>
  <c r="S50" i="7"/>
  <c r="L50" i="7"/>
  <c r="E50" i="7"/>
  <c r="Z49" i="7"/>
  <c r="S49" i="7"/>
  <c r="L49" i="7"/>
  <c r="E49" i="7"/>
  <c r="R43" i="7"/>
  <c r="S43" i="7" s="1"/>
  <c r="K43" i="7"/>
  <c r="L43" i="7" s="1"/>
  <c r="R42" i="7"/>
  <c r="S42" i="7" s="1"/>
  <c r="K42" i="7"/>
  <c r="L42" i="7" s="1"/>
  <c r="R41" i="7"/>
  <c r="S41" i="7" s="1"/>
  <c r="K41" i="7"/>
  <c r="L41" i="7" s="1"/>
  <c r="R40" i="7"/>
  <c r="S40" i="7"/>
  <c r="K40" i="7"/>
  <c r="L40" i="7" s="1"/>
  <c r="R39" i="7"/>
  <c r="S39" i="7"/>
  <c r="K39" i="7"/>
  <c r="L39" i="7" s="1"/>
  <c r="R38" i="7"/>
  <c r="S38" i="7" s="1"/>
  <c r="K38" i="7"/>
  <c r="L38" i="7" s="1"/>
  <c r="R37" i="7"/>
  <c r="S37" i="7"/>
  <c r="K37" i="7"/>
  <c r="L37" i="7" s="1"/>
  <c r="R36" i="7"/>
  <c r="S36" i="7"/>
  <c r="K36" i="7"/>
  <c r="L36" i="7" s="1"/>
  <c r="R35" i="7"/>
  <c r="S35" i="7"/>
  <c r="K35" i="7"/>
  <c r="L35" i="7" s="1"/>
  <c r="R34" i="7"/>
  <c r="S34" i="7" s="1"/>
  <c r="K34" i="7"/>
  <c r="L34" i="7" s="1"/>
  <c r="R33" i="7"/>
  <c r="S33" i="7"/>
  <c r="K33" i="7"/>
  <c r="L33" i="7" s="1"/>
  <c r="R32" i="7"/>
  <c r="S32" i="7"/>
  <c r="K32" i="7"/>
  <c r="R31" i="7"/>
  <c r="S31" i="7" s="1"/>
  <c r="K31" i="7"/>
  <c r="L31" i="7"/>
  <c r="C22" i="7"/>
  <c r="B22" i="7"/>
  <c r="C21" i="7"/>
  <c r="B21" i="7"/>
  <c r="C20" i="7"/>
  <c r="B20" i="7"/>
  <c r="C19" i="7"/>
  <c r="B19" i="7"/>
  <c r="C18" i="7"/>
  <c r="B18" i="7"/>
  <c r="C17" i="7"/>
  <c r="B17" i="7"/>
  <c r="B16" i="7"/>
  <c r="C15" i="7"/>
  <c r="E13" i="7"/>
  <c r="B13" i="7"/>
  <c r="C13" i="7"/>
  <c r="D13" i="7"/>
  <c r="A13" i="7"/>
  <c r="E12" i="7"/>
  <c r="D12" i="7"/>
  <c r="C12" i="7"/>
  <c r="J20" i="7" s="1"/>
  <c r="B12" i="7"/>
  <c r="A12" i="7"/>
  <c r="E11" i="7"/>
  <c r="B11" i="7"/>
  <c r="I18" i="7" s="1"/>
  <c r="C11" i="7"/>
  <c r="D11" i="7"/>
  <c r="A11" i="7"/>
  <c r="E10" i="7"/>
  <c r="A10" i="7"/>
  <c r="F9" i="7"/>
  <c r="E9" i="7"/>
  <c r="D9" i="7"/>
  <c r="C9" i="7"/>
  <c r="B9" i="7"/>
  <c r="A9" i="7"/>
  <c r="C4" i="7"/>
  <c r="C3" i="7"/>
  <c r="C2" i="7"/>
  <c r="AA106" i="27"/>
  <c r="Z106" i="27"/>
  <c r="Y106" i="27"/>
  <c r="X106" i="27"/>
  <c r="W106" i="27"/>
  <c r="T106" i="27"/>
  <c r="S106" i="27"/>
  <c r="R106" i="27"/>
  <c r="Q106" i="27"/>
  <c r="P106" i="27"/>
  <c r="M106" i="27"/>
  <c r="L106" i="27"/>
  <c r="K106" i="27"/>
  <c r="J106" i="27"/>
  <c r="I106" i="27"/>
  <c r="F106" i="27"/>
  <c r="E106" i="27"/>
  <c r="D106" i="27"/>
  <c r="C106" i="27"/>
  <c r="B106" i="27"/>
  <c r="X73" i="27"/>
  <c r="Q73" i="27"/>
  <c r="J73" i="27"/>
  <c r="C73" i="27"/>
  <c r="E70" i="27"/>
  <c r="Z68" i="27"/>
  <c r="S67" i="27"/>
  <c r="E67" i="27"/>
  <c r="Z65" i="27"/>
  <c r="Z63" i="27"/>
  <c r="S63" i="27"/>
  <c r="L63" i="27"/>
  <c r="E63" i="27"/>
  <c r="Z62" i="27"/>
  <c r="S62" i="27"/>
  <c r="L62" i="27"/>
  <c r="E62" i="27"/>
  <c r="Z61" i="27"/>
  <c r="S61" i="27"/>
  <c r="L61" i="27"/>
  <c r="E61" i="27"/>
  <c r="Z60" i="27"/>
  <c r="S60" i="27"/>
  <c r="L60" i="27"/>
  <c r="E60" i="27"/>
  <c r="Z59" i="27"/>
  <c r="S59" i="27"/>
  <c r="L59" i="27"/>
  <c r="E59" i="27"/>
  <c r="Z58" i="27"/>
  <c r="S58" i="27"/>
  <c r="L58" i="27"/>
  <c r="E58" i="27"/>
  <c r="Z57" i="27"/>
  <c r="S57" i="27"/>
  <c r="L57" i="27"/>
  <c r="E57" i="27"/>
  <c r="Z56" i="27"/>
  <c r="S56" i="27"/>
  <c r="L56" i="27"/>
  <c r="E56" i="27"/>
  <c r="Z55" i="27"/>
  <c r="S55" i="27"/>
  <c r="L55" i="27"/>
  <c r="E55" i="27"/>
  <c r="Z54" i="27"/>
  <c r="S54" i="27"/>
  <c r="L54" i="27"/>
  <c r="E54" i="27"/>
  <c r="Z53" i="27"/>
  <c r="S53" i="27"/>
  <c r="L53" i="27"/>
  <c r="E53" i="27"/>
  <c r="Z52" i="27"/>
  <c r="S52" i="27"/>
  <c r="L52" i="27"/>
  <c r="E52" i="27"/>
  <c r="Z51" i="27"/>
  <c r="S51" i="27"/>
  <c r="L51" i="27"/>
  <c r="E51" i="27"/>
  <c r="Z50" i="27"/>
  <c r="S50" i="27"/>
  <c r="L50" i="27"/>
  <c r="E50" i="27"/>
  <c r="Z49" i="27"/>
  <c r="S49" i="27"/>
  <c r="L49" i="27"/>
  <c r="E49" i="27"/>
  <c r="Y47" i="27"/>
  <c r="R47" i="27"/>
  <c r="K47" i="27"/>
  <c r="D47" i="27"/>
  <c r="Q41" i="27"/>
  <c r="Q42" i="27"/>
  <c r="Q43" i="27"/>
  <c r="Y43" i="27"/>
  <c r="Z43" i="27"/>
  <c r="X43" i="27"/>
  <c r="R43" i="27"/>
  <c r="S43" i="27"/>
  <c r="K43" i="27"/>
  <c r="L43" i="27" s="1"/>
  <c r="J43" i="27"/>
  <c r="D43" i="27"/>
  <c r="E43" i="27" s="1"/>
  <c r="C43" i="27"/>
  <c r="Y42" i="27"/>
  <c r="X42" i="27"/>
  <c r="R42" i="27"/>
  <c r="K42" i="27"/>
  <c r="L42" i="27" s="1"/>
  <c r="J42" i="27"/>
  <c r="D42" i="27"/>
  <c r="E42" i="27" s="1"/>
  <c r="C42" i="27"/>
  <c r="C41" i="27"/>
  <c r="C44" i="27"/>
  <c r="Y41" i="27"/>
  <c r="Z41" i="27"/>
  <c r="X41" i="27"/>
  <c r="X44" i="27"/>
  <c r="R41" i="27"/>
  <c r="S41" i="27" s="1"/>
  <c r="K41" i="27"/>
  <c r="L41" i="27" s="1"/>
  <c r="J41" i="27"/>
  <c r="D41" i="27"/>
  <c r="E41" i="27" s="1"/>
  <c r="Y40" i="27"/>
  <c r="Z40" i="27" s="1"/>
  <c r="X40" i="27"/>
  <c r="R40" i="27"/>
  <c r="S40" i="27" s="1"/>
  <c r="Q40" i="27"/>
  <c r="K40" i="27"/>
  <c r="L40" i="27" s="1"/>
  <c r="J40" i="27"/>
  <c r="D40" i="27"/>
  <c r="E40" i="27" s="1"/>
  <c r="C40" i="27"/>
  <c r="Y39" i="27"/>
  <c r="Z39" i="27" s="1"/>
  <c r="X39" i="27"/>
  <c r="R39" i="27"/>
  <c r="S39" i="27" s="1"/>
  <c r="Q39" i="27"/>
  <c r="K39" i="27"/>
  <c r="L39" i="27"/>
  <c r="J39" i="27"/>
  <c r="D39" i="27"/>
  <c r="E39" i="27" s="1"/>
  <c r="C39" i="27"/>
  <c r="Y38" i="27"/>
  <c r="Z38" i="27" s="1"/>
  <c r="X38" i="27"/>
  <c r="R38" i="27"/>
  <c r="S38" i="27" s="1"/>
  <c r="Q38" i="27"/>
  <c r="K38" i="27"/>
  <c r="L38" i="27" s="1"/>
  <c r="J38" i="27"/>
  <c r="D38" i="27"/>
  <c r="E38" i="27"/>
  <c r="C38" i="27"/>
  <c r="Y37" i="27"/>
  <c r="Z37" i="27" s="1"/>
  <c r="X37" i="27"/>
  <c r="R37" i="27"/>
  <c r="S37" i="27" s="1"/>
  <c r="Q37" i="27"/>
  <c r="K37" i="27"/>
  <c r="L37" i="27"/>
  <c r="J37" i="27"/>
  <c r="D37" i="27"/>
  <c r="E37" i="27" s="1"/>
  <c r="C37" i="27"/>
  <c r="Y36" i="27"/>
  <c r="Z36" i="27" s="1"/>
  <c r="X36" i="27"/>
  <c r="R36" i="27"/>
  <c r="S36" i="27" s="1"/>
  <c r="Q36" i="27"/>
  <c r="K36" i="27"/>
  <c r="L36" i="27"/>
  <c r="J36" i="27"/>
  <c r="D36" i="27"/>
  <c r="E36" i="27"/>
  <c r="C36" i="27"/>
  <c r="Y35" i="27"/>
  <c r="Z35" i="27" s="1"/>
  <c r="X35" i="27"/>
  <c r="R35" i="27"/>
  <c r="S35" i="27" s="1"/>
  <c r="Q35" i="27"/>
  <c r="K35" i="27"/>
  <c r="L35" i="27" s="1"/>
  <c r="J35" i="27"/>
  <c r="D35" i="27"/>
  <c r="E35" i="27" s="1"/>
  <c r="C35" i="27"/>
  <c r="Y34" i="27"/>
  <c r="Z34" i="27" s="1"/>
  <c r="X34" i="27"/>
  <c r="R34" i="27"/>
  <c r="S34" i="27" s="1"/>
  <c r="Q34" i="27"/>
  <c r="K34" i="27"/>
  <c r="L34" i="27"/>
  <c r="J34" i="27"/>
  <c r="D34" i="27"/>
  <c r="E34" i="27" s="1"/>
  <c r="C34" i="27"/>
  <c r="Y33" i="27"/>
  <c r="Z33" i="27" s="1"/>
  <c r="X33" i="27"/>
  <c r="R33" i="27"/>
  <c r="S33" i="27" s="1"/>
  <c r="Q33" i="27"/>
  <c r="K33" i="27"/>
  <c r="L33" i="27"/>
  <c r="J33" i="27"/>
  <c r="D33" i="27"/>
  <c r="E33" i="27" s="1"/>
  <c r="C33" i="27"/>
  <c r="Y32" i="27"/>
  <c r="Z32" i="27" s="1"/>
  <c r="X32" i="27"/>
  <c r="R32" i="27"/>
  <c r="S32" i="27" s="1"/>
  <c r="Q32" i="27"/>
  <c r="K32" i="27"/>
  <c r="L32" i="27" s="1"/>
  <c r="J32" i="27"/>
  <c r="D32" i="27"/>
  <c r="E32" i="27"/>
  <c r="C32" i="27"/>
  <c r="Y31" i="27"/>
  <c r="Z31" i="27" s="1"/>
  <c r="X31" i="27"/>
  <c r="R31" i="27"/>
  <c r="S31" i="27" s="1"/>
  <c r="Q31" i="27"/>
  <c r="K31" i="27"/>
  <c r="L31" i="27" s="1"/>
  <c r="J31" i="27"/>
  <c r="D31" i="27"/>
  <c r="E31" i="27" s="1"/>
  <c r="C31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B16" i="27"/>
  <c r="C15" i="27"/>
  <c r="E13" i="27"/>
  <c r="D13" i="27"/>
  <c r="C13" i="27"/>
  <c r="K19" i="27" s="1"/>
  <c r="B13" i="27"/>
  <c r="A13" i="27"/>
  <c r="E12" i="27"/>
  <c r="D12" i="27"/>
  <c r="J19" i="27" s="1"/>
  <c r="C12" i="27"/>
  <c r="B12" i="27"/>
  <c r="A12" i="27"/>
  <c r="E11" i="27"/>
  <c r="D11" i="27"/>
  <c r="C11" i="27"/>
  <c r="B11" i="27"/>
  <c r="A11" i="27"/>
  <c r="E10" i="27"/>
  <c r="B10" i="27"/>
  <c r="A10" i="27"/>
  <c r="F9" i="27"/>
  <c r="E9" i="27"/>
  <c r="D9" i="27"/>
  <c r="C9" i="27"/>
  <c r="B9" i="27"/>
  <c r="A9" i="27"/>
  <c r="C4" i="27"/>
  <c r="C3" i="27"/>
  <c r="C2" i="27"/>
  <c r="AA105" i="26"/>
  <c r="Z105" i="26"/>
  <c r="Y105" i="26"/>
  <c r="X105" i="26"/>
  <c r="W105" i="26"/>
  <c r="T105" i="26"/>
  <c r="S105" i="26"/>
  <c r="R105" i="26"/>
  <c r="Q105" i="26"/>
  <c r="P105" i="26"/>
  <c r="M105" i="26"/>
  <c r="L105" i="26"/>
  <c r="K105" i="26"/>
  <c r="J105" i="26"/>
  <c r="I105" i="26"/>
  <c r="F105" i="26"/>
  <c r="E105" i="26"/>
  <c r="D105" i="26"/>
  <c r="C105" i="26"/>
  <c r="B105" i="26"/>
  <c r="Z47" i="26"/>
  <c r="S47" i="26"/>
  <c r="L47" i="26"/>
  <c r="A13" i="26"/>
  <c r="F12" i="26"/>
  <c r="A12" i="26"/>
  <c r="A11" i="26"/>
  <c r="A10" i="26"/>
  <c r="F9" i="26"/>
  <c r="E9" i="26"/>
  <c r="D9" i="26"/>
  <c r="C9" i="26"/>
  <c r="B9" i="26"/>
  <c r="A9" i="26"/>
  <c r="C4" i="26"/>
  <c r="C2" i="26"/>
  <c r="AA105" i="20"/>
  <c r="Z105" i="20"/>
  <c r="Y105" i="20"/>
  <c r="X105" i="20"/>
  <c r="W105" i="20"/>
  <c r="T105" i="20"/>
  <c r="S105" i="20"/>
  <c r="R105" i="20"/>
  <c r="Q105" i="20"/>
  <c r="P105" i="20"/>
  <c r="M105" i="20"/>
  <c r="L105" i="20"/>
  <c r="K105" i="20"/>
  <c r="J105" i="20"/>
  <c r="I105" i="20"/>
  <c r="F105" i="20"/>
  <c r="E105" i="20"/>
  <c r="D105" i="20"/>
  <c r="C105" i="20"/>
  <c r="B105" i="20"/>
  <c r="X72" i="20"/>
  <c r="Q72" i="20"/>
  <c r="J72" i="20"/>
  <c r="Z47" i="20"/>
  <c r="S47" i="20"/>
  <c r="L47" i="20"/>
  <c r="E47" i="20"/>
  <c r="B19" i="20"/>
  <c r="Y43" i="20"/>
  <c r="Z43" i="20" s="1"/>
  <c r="X43" i="20"/>
  <c r="R43" i="20"/>
  <c r="S43" i="20" s="1"/>
  <c r="Q43" i="20"/>
  <c r="J43" i="20"/>
  <c r="Y42" i="20"/>
  <c r="X42" i="20"/>
  <c r="R42" i="20"/>
  <c r="S42" i="20" s="1"/>
  <c r="Q42" i="20"/>
  <c r="Q41" i="20"/>
  <c r="Q44" i="20"/>
  <c r="J42" i="20"/>
  <c r="Y41" i="20"/>
  <c r="Z41" i="20" s="1"/>
  <c r="X41" i="20"/>
  <c r="R41" i="20"/>
  <c r="S41" i="20" s="1"/>
  <c r="J41" i="20"/>
  <c r="Y40" i="20"/>
  <c r="Z40" i="20" s="1"/>
  <c r="X40" i="20"/>
  <c r="R40" i="20"/>
  <c r="S40" i="20" s="1"/>
  <c r="Q40" i="20"/>
  <c r="J40" i="20"/>
  <c r="Y39" i="20"/>
  <c r="Z39" i="20" s="1"/>
  <c r="X39" i="20"/>
  <c r="R39" i="20"/>
  <c r="S39" i="20" s="1"/>
  <c r="Q39" i="20"/>
  <c r="J39" i="20"/>
  <c r="Y38" i="20"/>
  <c r="Z38" i="20" s="1"/>
  <c r="X38" i="20"/>
  <c r="R38" i="20"/>
  <c r="S38" i="20"/>
  <c r="Q38" i="20"/>
  <c r="J38" i="20"/>
  <c r="Y37" i="20"/>
  <c r="Z37" i="20"/>
  <c r="X37" i="20"/>
  <c r="R37" i="20"/>
  <c r="S37" i="20" s="1"/>
  <c r="Q37" i="20"/>
  <c r="J37" i="20"/>
  <c r="Y36" i="20"/>
  <c r="Z36" i="20" s="1"/>
  <c r="X36" i="20"/>
  <c r="R36" i="20"/>
  <c r="S36" i="20" s="1"/>
  <c r="Q36" i="20"/>
  <c r="J36" i="20"/>
  <c r="Y35" i="20"/>
  <c r="Z35" i="20" s="1"/>
  <c r="X35" i="20"/>
  <c r="R35" i="20"/>
  <c r="S35" i="20" s="1"/>
  <c r="Q35" i="20"/>
  <c r="J35" i="20"/>
  <c r="Y34" i="20"/>
  <c r="Z34" i="20" s="1"/>
  <c r="X34" i="20"/>
  <c r="R34" i="20"/>
  <c r="S34" i="20" s="1"/>
  <c r="Q34" i="20"/>
  <c r="J34" i="20"/>
  <c r="Y33" i="20"/>
  <c r="Z33" i="20" s="1"/>
  <c r="X33" i="20"/>
  <c r="R33" i="20"/>
  <c r="S33" i="20" s="1"/>
  <c r="Q33" i="20"/>
  <c r="J33" i="20"/>
  <c r="Y32" i="20"/>
  <c r="Z32" i="20" s="1"/>
  <c r="X32" i="20"/>
  <c r="R32" i="20"/>
  <c r="Q32" i="20"/>
  <c r="J32" i="20"/>
  <c r="Y31" i="20"/>
  <c r="Z31" i="20" s="1"/>
  <c r="X31" i="20"/>
  <c r="R31" i="20"/>
  <c r="Q31" i="20"/>
  <c r="J31" i="20"/>
  <c r="C22" i="20"/>
  <c r="C21" i="20"/>
  <c r="B21" i="20"/>
  <c r="C20" i="20"/>
  <c r="C19" i="20"/>
  <c r="C18" i="20"/>
  <c r="B18" i="20"/>
  <c r="C17" i="20"/>
  <c r="B17" i="20"/>
  <c r="B16" i="20"/>
  <c r="C15" i="20"/>
  <c r="E13" i="20"/>
  <c r="D13" i="20"/>
  <c r="C13" i="20"/>
  <c r="B13" i="20"/>
  <c r="K20" i="20" s="1"/>
  <c r="A13" i="20"/>
  <c r="E12" i="20"/>
  <c r="D12" i="20"/>
  <c r="B12" i="20"/>
  <c r="C12" i="20"/>
  <c r="A12" i="20"/>
  <c r="E11" i="20"/>
  <c r="D11" i="20"/>
  <c r="C11" i="20"/>
  <c r="B11" i="20"/>
  <c r="A11" i="20"/>
  <c r="E10" i="20"/>
  <c r="A10" i="20"/>
  <c r="F9" i="20"/>
  <c r="E9" i="20"/>
  <c r="D9" i="20"/>
  <c r="C9" i="20"/>
  <c r="B9" i="20"/>
  <c r="A9" i="20"/>
  <c r="C4" i="20"/>
  <c r="C2" i="20"/>
  <c r="AA105" i="21"/>
  <c r="Z105" i="21"/>
  <c r="Y105" i="21"/>
  <c r="X105" i="21"/>
  <c r="W105" i="21"/>
  <c r="T105" i="21"/>
  <c r="S105" i="21"/>
  <c r="R105" i="21"/>
  <c r="Q105" i="21"/>
  <c r="P105" i="21"/>
  <c r="M105" i="21"/>
  <c r="L105" i="21"/>
  <c r="K105" i="21"/>
  <c r="J105" i="21"/>
  <c r="I105" i="21"/>
  <c r="F105" i="21"/>
  <c r="E105" i="21"/>
  <c r="D105" i="21"/>
  <c r="C105" i="21"/>
  <c r="B105" i="21"/>
  <c r="Z47" i="21"/>
  <c r="S47" i="21"/>
  <c r="L47" i="21"/>
  <c r="A13" i="21"/>
  <c r="A12" i="21"/>
  <c r="F11" i="21"/>
  <c r="A11" i="21"/>
  <c r="A10" i="21"/>
  <c r="F9" i="21"/>
  <c r="E9" i="21"/>
  <c r="D9" i="21"/>
  <c r="C9" i="21"/>
  <c r="B9" i="21"/>
  <c r="A9" i="21"/>
  <c r="C2" i="21"/>
  <c r="A49" i="25"/>
  <c r="A48" i="25"/>
  <c r="A47" i="25"/>
  <c r="A46" i="25"/>
  <c r="A45" i="25"/>
  <c r="A44" i="25"/>
  <c r="A43" i="25"/>
  <c r="A42" i="25"/>
  <c r="A39" i="25"/>
  <c r="A38" i="25"/>
  <c r="A37" i="25"/>
  <c r="A36" i="25"/>
  <c r="A35" i="25"/>
  <c r="A34" i="25"/>
  <c r="A33" i="25"/>
  <c r="A32" i="25"/>
  <c r="A29" i="25"/>
  <c r="A28" i="25"/>
  <c r="A27" i="25"/>
  <c r="A26" i="25"/>
  <c r="A25" i="25"/>
  <c r="A24" i="25"/>
  <c r="A23" i="25"/>
  <c r="A22" i="25"/>
  <c r="A19" i="25"/>
  <c r="A18" i="25"/>
  <c r="A17" i="25"/>
  <c r="A16" i="25"/>
  <c r="A15" i="25"/>
  <c r="A14" i="25"/>
  <c r="A13" i="25"/>
  <c r="A12" i="25"/>
  <c r="A9" i="25"/>
  <c r="A8" i="25"/>
  <c r="A7" i="25"/>
  <c r="A6" i="25"/>
  <c r="A5" i="25"/>
  <c r="A4" i="25"/>
  <c r="A3" i="25"/>
  <c r="A2" i="25"/>
  <c r="B20" i="20"/>
  <c r="Z34" i="24"/>
  <c r="Z35" i="24"/>
  <c r="Z40" i="24"/>
  <c r="L43" i="24"/>
  <c r="S40" i="24"/>
  <c r="B20" i="24"/>
  <c r="E31" i="24"/>
  <c r="Z36" i="24"/>
  <c r="C70" i="27"/>
  <c r="C3" i="20"/>
  <c r="C3" i="21"/>
  <c r="K19" i="20"/>
  <c r="E64" i="27"/>
  <c r="Z64" i="27"/>
  <c r="K18" i="7"/>
  <c r="K19" i="7"/>
  <c r="J16" i="7"/>
  <c r="I16" i="24"/>
  <c r="J20" i="24"/>
  <c r="S44" i="7" l="1"/>
  <c r="Q25" i="26"/>
  <c r="J18" i="20"/>
  <c r="J19" i="20"/>
  <c r="D10" i="21"/>
  <c r="D10" i="24"/>
  <c r="D10" i="7"/>
  <c r="D10" i="27"/>
  <c r="Y44" i="21"/>
  <c r="Z31" i="21"/>
  <c r="I21" i="24"/>
  <c r="I22" i="24"/>
  <c r="J21" i="24"/>
  <c r="K22" i="27"/>
  <c r="I16" i="7"/>
  <c r="D44" i="27"/>
  <c r="X44" i="20"/>
  <c r="X25" i="20" s="1"/>
  <c r="L44" i="27"/>
  <c r="J18" i="7"/>
  <c r="K44" i="7"/>
  <c r="I18" i="24"/>
  <c r="K44" i="24"/>
  <c r="K25" i="24" s="1"/>
  <c r="E39" i="24"/>
  <c r="J22" i="21"/>
  <c r="X44" i="21"/>
  <c r="X25" i="21" s="1"/>
  <c r="D44" i="21"/>
  <c r="E43" i="21"/>
  <c r="K18" i="24"/>
  <c r="I20" i="24"/>
  <c r="K18" i="20"/>
  <c r="I20" i="7"/>
  <c r="I20" i="20"/>
  <c r="C10" i="27"/>
  <c r="H22" i="27" s="1"/>
  <c r="I19" i="7"/>
  <c r="S33" i="24"/>
  <c r="J17" i="26"/>
  <c r="I19" i="21"/>
  <c r="I22" i="7"/>
  <c r="J22" i="20"/>
  <c r="D10" i="20"/>
  <c r="K22" i="20"/>
  <c r="K16" i="27"/>
  <c r="C10" i="7"/>
  <c r="J17" i="24"/>
  <c r="J16" i="24"/>
  <c r="R44" i="24"/>
  <c r="R25" i="24" s="1"/>
  <c r="X70" i="27"/>
  <c r="Z69" i="27"/>
  <c r="Z70" i="27" s="1"/>
  <c r="J16" i="26"/>
  <c r="K20" i="7"/>
  <c r="R44" i="7"/>
  <c r="S37" i="24"/>
  <c r="E43" i="24"/>
  <c r="L39" i="24"/>
  <c r="L35" i="24"/>
  <c r="S36" i="24"/>
  <c r="Q44" i="24"/>
  <c r="E41" i="24"/>
  <c r="D44" i="24"/>
  <c r="Q44" i="7"/>
  <c r="J25" i="26"/>
  <c r="S44" i="21"/>
  <c r="I19" i="24"/>
  <c r="R44" i="20"/>
  <c r="J44" i="20"/>
  <c r="K21" i="27"/>
  <c r="J44" i="27"/>
  <c r="X44" i="24"/>
  <c r="C44" i="20"/>
  <c r="C25" i="20" s="1"/>
  <c r="C44" i="26"/>
  <c r="C25" i="26" s="1"/>
  <c r="X25" i="26"/>
  <c r="J19" i="21"/>
  <c r="E37" i="24"/>
  <c r="E33" i="24"/>
  <c r="Z39" i="24"/>
  <c r="S32" i="24"/>
  <c r="L32" i="24"/>
  <c r="S42" i="24"/>
  <c r="X47" i="7"/>
  <c r="Z47" i="7" s="1"/>
  <c r="E44" i="27"/>
  <c r="L69" i="27"/>
  <c r="L70" i="27" s="1"/>
  <c r="D25" i="27"/>
  <c r="J47" i="27"/>
  <c r="S69" i="27"/>
  <c r="S70" i="27" s="1"/>
  <c r="X47" i="27"/>
  <c r="R44" i="26"/>
  <c r="Q25" i="20"/>
  <c r="S31" i="20"/>
  <c r="I20" i="27"/>
  <c r="I17" i="27"/>
  <c r="I16" i="27"/>
  <c r="I18" i="27"/>
  <c r="I21" i="27"/>
  <c r="I19" i="27"/>
  <c r="J22" i="27"/>
  <c r="J20" i="27"/>
  <c r="J16" i="27"/>
  <c r="J21" i="27"/>
  <c r="J17" i="27"/>
  <c r="K20" i="27"/>
  <c r="J18" i="27"/>
  <c r="S32" i="20"/>
  <c r="H16" i="27"/>
  <c r="R25" i="7"/>
  <c r="J16" i="20"/>
  <c r="J17" i="20"/>
  <c r="J20" i="20"/>
  <c r="J21" i="20"/>
  <c r="Z42" i="20"/>
  <c r="Y44" i="20"/>
  <c r="I22" i="27"/>
  <c r="I18" i="20"/>
  <c r="I16" i="20"/>
  <c r="I21" i="20"/>
  <c r="J25" i="20"/>
  <c r="Y44" i="27"/>
  <c r="Z42" i="27"/>
  <c r="Z44" i="27" s="1"/>
  <c r="F12" i="24"/>
  <c r="F12" i="7"/>
  <c r="F12" i="21"/>
  <c r="X25" i="24"/>
  <c r="J47" i="7"/>
  <c r="L47" i="7" s="1"/>
  <c r="J25" i="7" s="1"/>
  <c r="J17" i="7"/>
  <c r="K44" i="27"/>
  <c r="K25" i="27" s="1"/>
  <c r="Z69" i="7"/>
  <c r="Z70" i="7" s="1"/>
  <c r="F12" i="20"/>
  <c r="K21" i="20"/>
  <c r="K16" i="20"/>
  <c r="K17" i="27"/>
  <c r="S42" i="27"/>
  <c r="S44" i="27" s="1"/>
  <c r="Q44" i="27"/>
  <c r="Z66" i="27"/>
  <c r="Z47" i="27" s="1"/>
  <c r="X25" i="27" s="1"/>
  <c r="L32" i="7"/>
  <c r="L44" i="7" s="1"/>
  <c r="Z65" i="7"/>
  <c r="J22" i="24"/>
  <c r="J18" i="24"/>
  <c r="S34" i="24"/>
  <c r="L40" i="24"/>
  <c r="L36" i="24"/>
  <c r="J44" i="24"/>
  <c r="L41" i="24"/>
  <c r="D25" i="24"/>
  <c r="C47" i="7"/>
  <c r="E47" i="7" s="1"/>
  <c r="C44" i="7"/>
  <c r="K44" i="21"/>
  <c r="L34" i="21"/>
  <c r="L44" i="21" s="1"/>
  <c r="K16" i="7"/>
  <c r="K21" i="7"/>
  <c r="F11" i="24"/>
  <c r="F11" i="27"/>
  <c r="F11" i="26"/>
  <c r="F13" i="7"/>
  <c r="F13" i="20"/>
  <c r="F13" i="24"/>
  <c r="F13" i="27"/>
  <c r="F13" i="26"/>
  <c r="Y44" i="24"/>
  <c r="Y25" i="24" s="1"/>
  <c r="Z32" i="24"/>
  <c r="L31" i="24"/>
  <c r="J25" i="24"/>
  <c r="Z31" i="7"/>
  <c r="Z44" i="7" s="1"/>
  <c r="Y44" i="7"/>
  <c r="S64" i="7"/>
  <c r="C47" i="27"/>
  <c r="K22" i="26"/>
  <c r="K20" i="26"/>
  <c r="K17" i="26"/>
  <c r="K44" i="26"/>
  <c r="L34" i="26"/>
  <c r="R44" i="21"/>
  <c r="R25" i="21" s="1"/>
  <c r="S25" i="21" s="1"/>
  <c r="D7" i="21" s="1"/>
  <c r="K17" i="20"/>
  <c r="K17" i="7"/>
  <c r="I21" i="7"/>
  <c r="K18" i="27"/>
  <c r="I17" i="7"/>
  <c r="Q47" i="27"/>
  <c r="Z31" i="24"/>
  <c r="I17" i="20"/>
  <c r="I22" i="20"/>
  <c r="I19" i="20"/>
  <c r="F11" i="20"/>
  <c r="H18" i="27"/>
  <c r="H17" i="27"/>
  <c r="R44" i="27"/>
  <c r="E65" i="27"/>
  <c r="E47" i="27" s="1"/>
  <c r="C25" i="27" s="1"/>
  <c r="J19" i="7"/>
  <c r="J22" i="7"/>
  <c r="J21" i="7"/>
  <c r="K22" i="7"/>
  <c r="E69" i="7"/>
  <c r="E70" i="7" s="1"/>
  <c r="K22" i="24"/>
  <c r="K17" i="24"/>
  <c r="K21" i="24"/>
  <c r="K16" i="24"/>
  <c r="K20" i="24"/>
  <c r="C44" i="24"/>
  <c r="C25" i="24" s="1"/>
  <c r="E25" i="24" s="1"/>
  <c r="B7" i="24" s="1"/>
  <c r="Q70" i="7"/>
  <c r="Q47" i="7" s="1"/>
  <c r="S47" i="7" s="1"/>
  <c r="Q25" i="7" s="1"/>
  <c r="S69" i="7"/>
  <c r="S70" i="7" s="1"/>
  <c r="D44" i="7"/>
  <c r="E32" i="7"/>
  <c r="E44" i="7" s="1"/>
  <c r="J19" i="26"/>
  <c r="J21" i="26"/>
  <c r="J20" i="26"/>
  <c r="K21" i="26"/>
  <c r="F21" i="1"/>
  <c r="B10" i="21"/>
  <c r="B10" i="24"/>
  <c r="B10" i="7"/>
  <c r="B10" i="20"/>
  <c r="K22" i="21"/>
  <c r="K20" i="21"/>
  <c r="K17" i="21"/>
  <c r="K19" i="21"/>
  <c r="D10" i="26"/>
  <c r="I22" i="26"/>
  <c r="I20" i="26"/>
  <c r="I17" i="26"/>
  <c r="I21" i="26"/>
  <c r="I18" i="26"/>
  <c r="I16" i="26"/>
  <c r="J16" i="21"/>
  <c r="J17" i="21"/>
  <c r="J18" i="21"/>
  <c r="C10" i="21"/>
  <c r="C10" i="24"/>
  <c r="C10" i="26"/>
  <c r="I22" i="21"/>
  <c r="I20" i="21"/>
  <c r="I17" i="21"/>
  <c r="I21" i="21"/>
  <c r="I18" i="21"/>
  <c r="I16" i="21"/>
  <c r="E44" i="21"/>
  <c r="C25" i="21"/>
  <c r="Z32" i="21"/>
  <c r="E33" i="21"/>
  <c r="E10" i="21"/>
  <c r="E10" i="26"/>
  <c r="K21" i="21"/>
  <c r="E43" i="20"/>
  <c r="D44" i="20"/>
  <c r="K44" i="20"/>
  <c r="Q25" i="24"/>
  <c r="X44" i="7"/>
  <c r="E32" i="20"/>
  <c r="Y44" i="26"/>
  <c r="E43" i="26"/>
  <c r="D44" i="26"/>
  <c r="K16" i="26"/>
  <c r="K18" i="26"/>
  <c r="K16" i="21"/>
  <c r="K18" i="21"/>
  <c r="D25" i="21" l="1"/>
  <c r="H17" i="26"/>
  <c r="C25" i="7"/>
  <c r="Y25" i="27"/>
  <c r="H19" i="27"/>
  <c r="H20" i="27"/>
  <c r="H21" i="27"/>
  <c r="S25" i="24"/>
  <c r="D7" i="24" s="1"/>
  <c r="S25" i="7"/>
  <c r="D7" i="7" s="1"/>
  <c r="D25" i="7"/>
  <c r="E25" i="7" s="1"/>
  <c r="B7" i="7" s="1"/>
  <c r="X25" i="7"/>
  <c r="E25" i="27"/>
  <c r="B7" i="27" s="1"/>
  <c r="R25" i="27"/>
  <c r="S47" i="27"/>
  <c r="Q25" i="27" s="1"/>
  <c r="S25" i="27" s="1"/>
  <c r="D7" i="27" s="1"/>
  <c r="L47" i="27"/>
  <c r="J25" i="27" s="1"/>
  <c r="L25" i="27" s="1"/>
  <c r="C7" i="27" s="1"/>
  <c r="S44" i="20"/>
  <c r="R25" i="20" s="1"/>
  <c r="S25" i="20" s="1"/>
  <c r="D7" i="20" s="1"/>
  <c r="Z44" i="20"/>
  <c r="Y25" i="20" s="1"/>
  <c r="Z25" i="20" s="1"/>
  <c r="E7" i="20" s="1"/>
  <c r="L44" i="20"/>
  <c r="K25" i="20" s="1"/>
  <c r="L25" i="20" s="1"/>
  <c r="C7" i="20" s="1"/>
  <c r="E44" i="20"/>
  <c r="D25" i="20" s="1"/>
  <c r="E25" i="20" s="1"/>
  <c r="B7" i="20" s="1"/>
  <c r="E25" i="21"/>
  <c r="B7" i="21" s="1"/>
  <c r="H16" i="7"/>
  <c r="H19" i="7"/>
  <c r="H17" i="7"/>
  <c r="H20" i="7"/>
  <c r="H18" i="7"/>
  <c r="H22" i="7"/>
  <c r="H21" i="7"/>
  <c r="H21" i="26"/>
  <c r="H16" i="26"/>
  <c r="K25" i="7"/>
  <c r="L25" i="7" s="1"/>
  <c r="C7" i="7" s="1"/>
  <c r="K25" i="21"/>
  <c r="L25" i="21" s="1"/>
  <c r="C7" i="21" s="1"/>
  <c r="Z44" i="21"/>
  <c r="Y25" i="21" s="1"/>
  <c r="Z25" i="21" s="1"/>
  <c r="E7" i="21" s="1"/>
  <c r="H16" i="24"/>
  <c r="H20" i="24"/>
  <c r="H19" i="24"/>
  <c r="H18" i="24"/>
  <c r="H21" i="24"/>
  <c r="H17" i="24"/>
  <c r="H22" i="24"/>
  <c r="H22" i="26"/>
  <c r="L25" i="24"/>
  <c r="C7" i="24" s="1"/>
  <c r="Z25" i="27"/>
  <c r="E7" i="27" s="1"/>
  <c r="H18" i="26"/>
  <c r="H19" i="21"/>
  <c r="H18" i="21"/>
  <c r="H17" i="21"/>
  <c r="H16" i="21"/>
  <c r="H22" i="21"/>
  <c r="H21" i="21"/>
  <c r="H20" i="21"/>
  <c r="H19" i="26"/>
  <c r="Z44" i="26"/>
  <c r="Y25" i="26" s="1"/>
  <c r="Z25" i="26" s="1"/>
  <c r="E7" i="26" s="1"/>
  <c r="L44" i="26"/>
  <c r="K25" i="26" s="1"/>
  <c r="L25" i="26" s="1"/>
  <c r="C7" i="26" s="1"/>
  <c r="E44" i="26"/>
  <c r="D25" i="26" s="1"/>
  <c r="E25" i="26" s="1"/>
  <c r="B7" i="26" s="1"/>
  <c r="S44" i="26"/>
  <c r="R25" i="26" s="1"/>
  <c r="S25" i="26" s="1"/>
  <c r="D7" i="26" s="1"/>
  <c r="H18" i="20"/>
  <c r="H21" i="20"/>
  <c r="H17" i="20"/>
  <c r="H20" i="20"/>
  <c r="H19" i="20"/>
  <c r="H16" i="20"/>
  <c r="H22" i="20"/>
  <c r="F10" i="7"/>
  <c r="F10" i="20"/>
  <c r="F10" i="21"/>
  <c r="F10" i="27"/>
  <c r="F10" i="26"/>
  <c r="F10" i="24"/>
  <c r="H20" i="26"/>
  <c r="Y25" i="7"/>
  <c r="Z25" i="7" s="1"/>
  <c r="E7" i="7" s="1"/>
  <c r="Z25" i="24"/>
  <c r="E7" i="24" s="1"/>
</calcChain>
</file>

<file path=xl/sharedStrings.xml><?xml version="1.0" encoding="utf-8"?>
<sst xmlns="http://schemas.openxmlformats.org/spreadsheetml/2006/main" count="1301" uniqueCount="100">
  <si>
    <t>Region</t>
  </si>
  <si>
    <t>Year</t>
  </si>
  <si>
    <t>NSW</t>
  </si>
  <si>
    <t>SA</t>
  </si>
  <si>
    <t>Gross benefit</t>
  </si>
  <si>
    <t>Investment Cost</t>
  </si>
  <si>
    <t>Net benefit</t>
  </si>
  <si>
    <t>NPV</t>
  </si>
  <si>
    <t>Discount rate</t>
  </si>
  <si>
    <t>Neutral</t>
  </si>
  <si>
    <t>NEM</t>
  </si>
  <si>
    <t>Costs %</t>
  </si>
  <si>
    <t>Assumptions in use</t>
  </si>
  <si>
    <t>Costs - $M</t>
  </si>
  <si>
    <t>Base Assumptions</t>
  </si>
  <si>
    <t>Scenarios</t>
  </si>
  <si>
    <t>Total</t>
  </si>
  <si>
    <t>Weight A</t>
  </si>
  <si>
    <t>Weight B</t>
  </si>
  <si>
    <t>Weight C</t>
  </si>
  <si>
    <t>Slow Change</t>
  </si>
  <si>
    <t>Fast Change</t>
  </si>
  <si>
    <t>QLD</t>
  </si>
  <si>
    <t>TAS</t>
  </si>
  <si>
    <t>VIC</t>
  </si>
  <si>
    <t>Generation fuel cost savings $000</t>
  </si>
  <si>
    <t>Original investment year</t>
  </si>
  <si>
    <t>New investment year</t>
  </si>
  <si>
    <t>Bring forward cost</t>
  </si>
  <si>
    <t>Network option lifespan</t>
  </si>
  <si>
    <t>Non-network option lifespan</t>
  </si>
  <si>
    <t>Network payment duration (years)</t>
  </si>
  <si>
    <t>Non-Network payment duration (years)</t>
  </si>
  <si>
    <t>Payback period - years</t>
  </si>
  <si>
    <t>Payback period</t>
  </si>
  <si>
    <t>Calculation parameters</t>
  </si>
  <si>
    <t>Base assumptions</t>
  </si>
  <si>
    <t>Cost x 1.3</t>
  </si>
  <si>
    <t>Cost x 0.7</t>
  </si>
  <si>
    <t>Sensitivities</t>
  </si>
  <si>
    <t>Payback -5 years</t>
  </si>
  <si>
    <t>Set A - all equal</t>
  </si>
  <si>
    <t>Set B - more Neutral</t>
  </si>
  <si>
    <t>Weight D</t>
  </si>
  <si>
    <t>Residual</t>
  </si>
  <si>
    <t>Average 3 years</t>
  </si>
  <si>
    <t>Description</t>
  </si>
  <si>
    <t>Option B2</t>
  </si>
  <si>
    <t>Option B3</t>
  </si>
  <si>
    <t>Option B4</t>
  </si>
  <si>
    <t>Option C2</t>
  </si>
  <si>
    <t>Options</t>
  </si>
  <si>
    <t>Shared assumptions (base)</t>
  </si>
  <si>
    <t>30 year contract</t>
  </si>
  <si>
    <t>10 year contract</t>
  </si>
  <si>
    <t>Scenario weightings</t>
  </si>
  <si>
    <t>Snowylink</t>
  </si>
  <si>
    <t>Benefits - Option B2</t>
  </si>
  <si>
    <t>Benefits - Option B3</t>
  </si>
  <si>
    <t>Benefits - Option C2</t>
  </si>
  <si>
    <t>Base</t>
  </si>
  <si>
    <t>Discount rate 0.025</t>
  </si>
  <si>
    <t>Discount rate -0.025</t>
  </si>
  <si>
    <t>Increase discount rate</t>
  </si>
  <si>
    <t>Capital cost savings $000</t>
  </si>
  <si>
    <t>Increase cost</t>
  </si>
  <si>
    <t>Benefits - Option B4</t>
  </si>
  <si>
    <t>Annual outage cost</t>
  </si>
  <si>
    <t>Option C1</t>
  </si>
  <si>
    <t>Snowylink2</t>
  </si>
  <si>
    <t>Benefits - Option C1</t>
  </si>
  <si>
    <t>Average Cost '000</t>
  </si>
  <si>
    <t>Do Nothing generation cost</t>
  </si>
  <si>
    <t>Terminal</t>
  </si>
  <si>
    <t>OPEX</t>
  </si>
  <si>
    <t>Payback +5 years</t>
  </si>
  <si>
    <t>Base case</t>
  </si>
  <si>
    <t>Upgrade case</t>
  </si>
  <si>
    <t>Benefit</t>
  </si>
  <si>
    <t>Decrease discount rate</t>
  </si>
  <si>
    <t>Decrease cost</t>
  </si>
  <si>
    <t xml:space="preserve">AEMO contracts </t>
  </si>
  <si>
    <t>Change in transmission network costs</t>
  </si>
  <si>
    <t>2018/19 cost</t>
  </si>
  <si>
    <t>Fuel cost benefit</t>
  </si>
  <si>
    <t>Fuel cost benefits and costs</t>
  </si>
  <si>
    <t>Name</t>
  </si>
  <si>
    <t>Set C - Slow Change</t>
  </si>
  <si>
    <t>Set D - Fast Change</t>
  </si>
  <si>
    <t>NeutralWS</t>
  </si>
  <si>
    <t>Option E1</t>
  </si>
  <si>
    <t>Benefits - Option E1</t>
  </si>
  <si>
    <t>• Construction of a new 220 kV double circuit line from Moorabool to Elaine to Ballarat to Bulgana to Horsham. 
• Retire Ballarat to Moorabool 220 kV circuit No.1 and cut in Ballarat to Moorabool 220 kV circuit No.2 at Elaine. 
New easements</t>
  </si>
  <si>
    <t>• Construction of a new 220 kV double circuit line from Moorabool to Elaine to Ballarat to Bulgana. 
• Retire Ballarat to Moorabool 220 kV circuit No.1 and cut in Ballarat to Moorabool 220 kV circuit No.2 at Elaine.
New easements</t>
  </si>
  <si>
    <t>• Rebuild existing Moorabool to Elaine to Ballarat to Bulgana single circuit 220 kV transmission line as a 220 kV double circuit transmission line. 
• Cut in Ballarat to Moorabool 220 kV circuit No.2 at Elaine.
Existing easements</t>
  </si>
  <si>
    <t>Battery at Ararat Terminal Station</t>
  </si>
  <si>
    <t>• Construction of a new 500 kV double circuit line from Ararat Terminal Station to Ballarat, without connecting at Ballarat Terminal Station. 
• Cut in Ballarat to Moorabool 220 kV circuit No.2 at Elaine.
New easements</t>
  </si>
  <si>
    <t>Continuation of transmission line from Ballarat to Sydenham Terminal Station. This forms part of the future Snowylink interconnector.
New easements</t>
  </si>
  <si>
    <t>• Construction of a new 220 kV double circuit line from Bulgana Terminal Station to Ballarat Terminal Station, or establish a new terminal station close to Ballarat, with a 220 kV double circuit connection to Ballarat Terminal Station. 
• Cut in Ballarat to Moorabool 220 kV circuit No.2 at Elaine.
New easements</t>
  </si>
  <si>
    <t>Construction of a new 500 kV double circuit line from the new terminal station to Sydenham Terminal Station, with 2 x 500/220 kV transformers. This forms part of the future Snowylink interconnector.
New easements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</si>
</sst>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A0101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222324"/>
      <name val="Tw Cen MT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0" fillId="0" borderId="0" xfId="0" applyBorder="1"/>
    <xf numFmtId="164" fontId="0" fillId="0" borderId="0" xfId="1" applyNumberFormat="1" applyFont="1" applyBorder="1"/>
    <xf numFmtId="0" fontId="2" fillId="0" borderId="1" xfId="0" applyFont="1" applyBorder="1"/>
    <xf numFmtId="9" fontId="0" fillId="0" borderId="1" xfId="0" applyNumberFormat="1" applyBorder="1"/>
    <xf numFmtId="9" fontId="0" fillId="0" borderId="1" xfId="2" applyFont="1" applyBorder="1"/>
    <xf numFmtId="0" fontId="2" fillId="0" borderId="0" xfId="0" applyFont="1"/>
    <xf numFmtId="0" fontId="2" fillId="0" borderId="0" xfId="0" applyFont="1" applyBorder="1"/>
    <xf numFmtId="0" fontId="0" fillId="0" borderId="1" xfId="0" applyFont="1" applyBorder="1"/>
    <xf numFmtId="0" fontId="0" fillId="0" borderId="0" xfId="0" applyFont="1" applyBorder="1"/>
    <xf numFmtId="43" fontId="0" fillId="0" borderId="0" xfId="1" applyFont="1" applyBorder="1"/>
    <xf numFmtId="0" fontId="0" fillId="0" borderId="1" xfId="0" applyFill="1" applyBorder="1"/>
    <xf numFmtId="0" fontId="0" fillId="0" borderId="0" xfId="0" applyFill="1"/>
    <xf numFmtId="164" fontId="0" fillId="2" borderId="1" xfId="1" applyNumberFormat="1" applyFont="1" applyFill="1" applyBorder="1"/>
    <xf numFmtId="0" fontId="0" fillId="3" borderId="1" xfId="0" applyFill="1" applyBorder="1"/>
    <xf numFmtId="164" fontId="0" fillId="3" borderId="1" xfId="1" applyNumberFormat="1" applyFont="1" applyFill="1" applyBorder="1"/>
    <xf numFmtId="0" fontId="0" fillId="4" borderId="1" xfId="0" applyFill="1" applyBorder="1"/>
    <xf numFmtId="164" fontId="0" fillId="4" borderId="1" xfId="1" applyNumberFormat="1" applyFont="1" applyFill="1" applyBorder="1"/>
    <xf numFmtId="9" fontId="0" fillId="4" borderId="1" xfId="2" applyFont="1" applyFill="1" applyBorder="1"/>
    <xf numFmtId="0" fontId="0" fillId="2" borderId="1" xfId="0" applyFill="1" applyBorder="1"/>
    <xf numFmtId="0" fontId="0" fillId="5" borderId="1" xfId="0" applyFill="1" applyBorder="1"/>
    <xf numFmtId="9" fontId="0" fillId="5" borderId="1" xfId="2" applyFont="1" applyFill="1" applyBorder="1"/>
    <xf numFmtId="165" fontId="0" fillId="2" borderId="1" xfId="3" applyNumberFormat="1" applyFont="1" applyFill="1" applyBorder="1"/>
    <xf numFmtId="164" fontId="0" fillId="0" borderId="0" xfId="1" applyNumberFormat="1" applyFont="1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Fill="1" applyBorder="1"/>
    <xf numFmtId="0" fontId="2" fillId="0" borderId="1" xfId="0" applyFont="1" applyFill="1" applyBorder="1"/>
    <xf numFmtId="0" fontId="0" fillId="0" borderId="1" xfId="0" applyFont="1" applyFill="1" applyBorder="1"/>
    <xf numFmtId="165" fontId="0" fillId="4" borderId="1" xfId="3" applyNumberFormat="1" applyFont="1" applyFill="1" applyBorder="1"/>
    <xf numFmtId="0" fontId="3" fillId="0" borderId="1" xfId="0" applyFont="1" applyBorder="1"/>
    <xf numFmtId="0" fontId="4" fillId="0" borderId="0" xfId="0" applyFont="1" applyFill="1" applyBorder="1"/>
    <xf numFmtId="0" fontId="4" fillId="0" borderId="0" xfId="0" applyFont="1"/>
    <xf numFmtId="164" fontId="0" fillId="0" borderId="8" xfId="1" applyNumberFormat="1" applyFont="1" applyBorder="1"/>
    <xf numFmtId="0" fontId="0" fillId="0" borderId="8" xfId="0" applyBorder="1"/>
    <xf numFmtId="0" fontId="0" fillId="0" borderId="1" xfId="0" applyBorder="1" applyAlignment="1"/>
    <xf numFmtId="0" fontId="0" fillId="0" borderId="0" xfId="0" applyBorder="1" applyAlignment="1"/>
    <xf numFmtId="0" fontId="5" fillId="0" borderId="0" xfId="0" applyFont="1"/>
    <xf numFmtId="0" fontId="0" fillId="0" borderId="0" xfId="0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0" fillId="0" borderId="1" xfId="0" applyBorder="1" applyAlignment="1"/>
    <xf numFmtId="0" fontId="5" fillId="0" borderId="0" xfId="0" applyFont="1"/>
    <xf numFmtId="8" fontId="0" fillId="0" borderId="0" xfId="0" applyNumberFormat="1"/>
    <xf numFmtId="0" fontId="0" fillId="6" borderId="1" xfId="0" applyFill="1" applyBorder="1"/>
    <xf numFmtId="164" fontId="0" fillId="6" borderId="1" xfId="1" applyNumberFormat="1" applyFont="1" applyFill="1" applyBorder="1"/>
    <xf numFmtId="164" fontId="0" fillId="0" borderId="0" xfId="0" applyNumberFormat="1"/>
    <xf numFmtId="0" fontId="0" fillId="0" borderId="0" xfId="0"/>
    <xf numFmtId="0" fontId="0" fillId="0" borderId="1" xfId="0" applyBorder="1"/>
    <xf numFmtId="0" fontId="6" fillId="0" borderId="0" xfId="0" applyFont="1" applyAlignment="1">
      <alignment vertical="center"/>
    </xf>
    <xf numFmtId="0" fontId="0" fillId="7" borderId="1" xfId="0" applyFill="1" applyBorder="1"/>
    <xf numFmtId="164" fontId="0" fillId="7" borderId="1" xfId="1" applyNumberFormat="1" applyFont="1" applyFill="1" applyBorder="1"/>
    <xf numFmtId="7" fontId="2" fillId="8" borderId="1" xfId="0" applyNumberFormat="1" applyFont="1" applyFill="1" applyBorder="1"/>
    <xf numFmtId="7" fontId="0" fillId="0" borderId="0" xfId="0" applyNumberFormat="1" applyBorder="1"/>
    <xf numFmtId="166" fontId="0" fillId="5" borderId="1" xfId="2" applyNumberFormat="1" applyFont="1" applyFill="1" applyBorder="1"/>
    <xf numFmtId="8" fontId="0" fillId="0" borderId="4" xfId="0" applyNumberFormat="1" applyBorder="1" applyAlignment="1"/>
    <xf numFmtId="0" fontId="0" fillId="0" borderId="0" xfId="0"/>
    <xf numFmtId="0" fontId="2" fillId="0" borderId="0" xfId="0" applyFont="1"/>
    <xf numFmtId="0" fontId="0" fillId="0" borderId="0" xfId="0" applyFill="1"/>
    <xf numFmtId="164" fontId="0" fillId="0" borderId="0" xfId="0" applyNumberFormat="1"/>
    <xf numFmtId="0" fontId="0" fillId="0" borderId="0" xfId="0" applyBorder="1"/>
    <xf numFmtId="8" fontId="0" fillId="0" borderId="0" xfId="0" applyNumberFormat="1" applyFill="1"/>
    <xf numFmtId="0" fontId="0" fillId="9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2" fillId="2" borderId="1" xfId="0" applyFont="1" applyFill="1" applyBorder="1"/>
    <xf numFmtId="7" fontId="0" fillId="0" borderId="0" xfId="0" applyNumberFormat="1"/>
    <xf numFmtId="0" fontId="0" fillId="0" borderId="0" xfId="0" applyFont="1" applyFill="1" applyBorder="1"/>
    <xf numFmtId="9" fontId="0" fillId="0" borderId="0" xfId="2" applyFont="1" applyBorder="1"/>
    <xf numFmtId="0" fontId="2" fillId="0" borderId="0" xfId="0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left"/>
    </xf>
    <xf numFmtId="6" fontId="0" fillId="0" borderId="1" xfId="0" applyNumberFormat="1" applyBorder="1" applyAlignment="1"/>
    <xf numFmtId="5" fontId="0" fillId="0" borderId="0" xfId="0" applyNumberFormat="1" applyFill="1" applyBorder="1"/>
    <xf numFmtId="7" fontId="0" fillId="0" borderId="0" xfId="0" applyNumberFormat="1" applyFill="1" applyBorder="1"/>
    <xf numFmtId="2" fontId="0" fillId="0" borderId="1" xfId="0" applyNumberFormat="1" applyBorder="1" applyAlignment="1"/>
    <xf numFmtId="2" fontId="0" fillId="0" borderId="1" xfId="0" applyNumberFormat="1" applyBorder="1"/>
    <xf numFmtId="9" fontId="0" fillId="0" borderId="0" xfId="2" applyFont="1" applyFill="1" applyBorder="1"/>
    <xf numFmtId="164" fontId="0" fillId="0" borderId="0" xfId="0" applyNumberFormat="1"/>
    <xf numFmtId="0" fontId="0" fillId="0" borderId="0" xfId="0"/>
    <xf numFmtId="0" fontId="0" fillId="0" borderId="0" xfId="0" applyFill="1"/>
    <xf numFmtId="7" fontId="0" fillId="0" borderId="0" xfId="0" applyNumberFormat="1" applyFont="1" applyFill="1" applyBorder="1"/>
    <xf numFmtId="166" fontId="0" fillId="2" borderId="1" xfId="2" applyNumberFormat="1" applyFont="1" applyFill="1" applyBorder="1"/>
    <xf numFmtId="9" fontId="0" fillId="0" borderId="0" xfId="0" applyNumberFormat="1" applyBorder="1"/>
    <xf numFmtId="166" fontId="0" fillId="0" borderId="1" xfId="2" applyNumberFormat="1" applyFont="1" applyBorder="1"/>
    <xf numFmtId="8" fontId="0" fillId="0" borderId="1" xfId="0" applyNumberFormat="1" applyBorder="1" applyAlignment="1"/>
    <xf numFmtId="0" fontId="7" fillId="0" borderId="0" xfId="0" applyFont="1" applyBorder="1"/>
    <xf numFmtId="1" fontId="0" fillId="0" borderId="0" xfId="0" applyNumberFormat="1"/>
    <xf numFmtId="0" fontId="8" fillId="0" borderId="0" xfId="0" applyFont="1" applyBorder="1"/>
    <xf numFmtId="164" fontId="0" fillId="0" borderId="1" xfId="1" applyNumberFormat="1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3">
    <cellStyle name="Comma" xfId="1" builtinId="3"/>
    <cellStyle name="Comma 2" xfId="4" xr:uid="{00000000-0005-0000-0000-000001000000}"/>
    <cellStyle name="Comma 2 2" xfId="7" xr:uid="{00000000-0005-0000-0000-000002000000}"/>
    <cellStyle name="Comma 3" xfId="6" xr:uid="{00000000-0005-0000-0000-000003000000}"/>
    <cellStyle name="Comma 3 2" xfId="8" xr:uid="{00000000-0005-0000-0000-000004000000}"/>
    <cellStyle name="Comma 4" xfId="9" xr:uid="{00000000-0005-0000-0000-000036000000}"/>
    <cellStyle name="Comma 5" xfId="10" xr:uid="{00000000-0005-0000-0000-000035000000}"/>
    <cellStyle name="Currency" xfId="3" builtinId="4"/>
    <cellStyle name="Currency 2" xfId="5" xr:uid="{00000000-0005-0000-0000-000006000000}"/>
    <cellStyle name="Currency 3" xfId="11" xr:uid="{00000000-0005-0000-0000-000036000000}"/>
    <cellStyle name="Currency 4" xfId="12" xr:uid="{00000000-0005-0000-0000-000037000000}"/>
    <cellStyle name="Normal" xfId="0" builtinId="0"/>
    <cellStyle name="Percent" xfId="2" builtinId="5"/>
  </cellStyles>
  <dxfs count="2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E15243"/>
      <color rgb="FFE5673F"/>
      <color rgb="FFF72D6C"/>
      <color rgb="FFF84A80"/>
      <color rgb="FFFFE5E5"/>
      <color rgb="FFFFCCCC"/>
      <color rgb="FFFDCD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4"/>
  <sheetViews>
    <sheetView tabSelected="1" zoomScale="70" zoomScaleNormal="70" workbookViewId="0"/>
  </sheetViews>
  <sheetFormatPr defaultRowHeight="15" x14ac:dyDescent="0.25"/>
  <cols>
    <col min="1" max="1" width="36.140625" customWidth="1"/>
    <col min="2" max="2" width="51.5703125" customWidth="1"/>
    <col min="3" max="3" width="37.7109375" customWidth="1"/>
    <col min="4" max="4" width="16.5703125" customWidth="1"/>
    <col min="5" max="5" width="13.85546875" customWidth="1"/>
    <col min="6" max="7" width="14.42578125" style="82" customWidth="1"/>
  </cols>
  <sheetData>
    <row r="1" spans="1:7" x14ac:dyDescent="0.25">
      <c r="A1" s="8" t="s">
        <v>52</v>
      </c>
    </row>
    <row r="2" spans="1:7" s="61" customFormat="1" x14ac:dyDescent="0.25">
      <c r="A2" s="16" t="s">
        <v>29</v>
      </c>
      <c r="B2" s="17">
        <v>50</v>
      </c>
      <c r="F2" s="82"/>
      <c r="G2" s="82"/>
    </row>
    <row r="3" spans="1:7" x14ac:dyDescent="0.25">
      <c r="A3" s="16" t="s">
        <v>30</v>
      </c>
      <c r="B3" s="17">
        <v>15</v>
      </c>
      <c r="D3" s="82"/>
    </row>
    <row r="4" spans="1:7" ht="15" customHeight="1" x14ac:dyDescent="0.25">
      <c r="A4" s="22" t="s">
        <v>8</v>
      </c>
      <c r="B4" s="23">
        <v>0.06</v>
      </c>
      <c r="C4" s="54"/>
    </row>
    <row r="5" spans="1:7" s="42" customFormat="1" x14ac:dyDescent="0.25">
      <c r="A5" s="49" t="s">
        <v>31</v>
      </c>
      <c r="B5" s="50">
        <v>30</v>
      </c>
      <c r="C5" s="54" t="s">
        <v>53</v>
      </c>
      <c r="F5" s="82"/>
      <c r="G5" s="82"/>
    </row>
    <row r="6" spans="1:7" s="52" customFormat="1" x14ac:dyDescent="0.25">
      <c r="A6" s="49" t="s">
        <v>32</v>
      </c>
      <c r="B6" s="50">
        <v>10</v>
      </c>
      <c r="C6" s="54" t="s">
        <v>54</v>
      </c>
      <c r="F6" s="82"/>
      <c r="G6" s="82"/>
    </row>
    <row r="7" spans="1:7" s="61" customFormat="1" x14ac:dyDescent="0.25">
      <c r="A7" s="65"/>
      <c r="B7" s="4"/>
      <c r="F7" s="82"/>
      <c r="G7" s="82"/>
    </row>
    <row r="8" spans="1:7" s="3" customFormat="1" x14ac:dyDescent="0.25">
      <c r="A8" s="9" t="s">
        <v>39</v>
      </c>
      <c r="F8" s="65"/>
      <c r="G8" s="65"/>
    </row>
    <row r="9" spans="1:7" x14ac:dyDescent="0.25">
      <c r="A9" s="22" t="s">
        <v>8</v>
      </c>
      <c r="B9" s="23">
        <v>0</v>
      </c>
    </row>
    <row r="10" spans="1:7" x14ac:dyDescent="0.25">
      <c r="A10" s="22"/>
      <c r="B10" s="59">
        <v>2.5000000000000001E-2</v>
      </c>
    </row>
    <row r="11" spans="1:7" x14ac:dyDescent="0.25">
      <c r="A11" s="22"/>
      <c r="B11" s="59">
        <v>-2.5000000000000001E-2</v>
      </c>
    </row>
    <row r="12" spans="1:7" x14ac:dyDescent="0.25">
      <c r="A12" s="18" t="s">
        <v>11</v>
      </c>
      <c r="B12" s="20">
        <v>1</v>
      </c>
    </row>
    <row r="13" spans="1:7" x14ac:dyDescent="0.25">
      <c r="A13" s="18"/>
      <c r="B13" s="20">
        <v>1.3</v>
      </c>
    </row>
    <row r="14" spans="1:7" x14ac:dyDescent="0.25">
      <c r="A14" s="18"/>
      <c r="B14" s="20">
        <v>0.7</v>
      </c>
    </row>
    <row r="15" spans="1:7" s="52" customFormat="1" x14ac:dyDescent="0.25">
      <c r="A15" s="55" t="s">
        <v>33</v>
      </c>
      <c r="B15" s="56">
        <v>0</v>
      </c>
      <c r="C15" s="54" t="s">
        <v>81</v>
      </c>
      <c r="F15" s="82"/>
      <c r="G15" s="82"/>
    </row>
    <row r="16" spans="1:7" s="52" customFormat="1" x14ac:dyDescent="0.25">
      <c r="A16" s="55"/>
      <c r="B16" s="56">
        <v>-5</v>
      </c>
      <c r="F16" s="82"/>
      <c r="G16" s="82"/>
    </row>
    <row r="17" spans="1:12" s="52" customFormat="1" x14ac:dyDescent="0.25">
      <c r="A17" s="55"/>
      <c r="B17" s="56">
        <v>5</v>
      </c>
      <c r="F17" s="82"/>
      <c r="G17" s="82"/>
    </row>
    <row r="18" spans="1:12" s="14" customFormat="1" x14ac:dyDescent="0.25">
      <c r="A18" s="34"/>
      <c r="B18" s="25"/>
      <c r="F18" s="83"/>
      <c r="G18" s="83"/>
    </row>
    <row r="19" spans="1:12" s="14" customFormat="1" x14ac:dyDescent="0.25">
      <c r="A19" s="29"/>
      <c r="B19" s="25"/>
      <c r="F19" s="83"/>
      <c r="G19" s="83"/>
    </row>
    <row r="20" spans="1:12" x14ac:dyDescent="0.25">
      <c r="A20" s="69" t="s">
        <v>55</v>
      </c>
      <c r="B20" s="69" t="s">
        <v>9</v>
      </c>
      <c r="C20" s="69" t="s">
        <v>89</v>
      </c>
      <c r="D20" s="69" t="s">
        <v>20</v>
      </c>
      <c r="E20" s="69" t="s">
        <v>21</v>
      </c>
      <c r="F20" s="69" t="s">
        <v>16</v>
      </c>
      <c r="H20" s="82"/>
    </row>
    <row r="21" spans="1:12" x14ac:dyDescent="0.25">
      <c r="A21" s="1" t="s">
        <v>41</v>
      </c>
      <c r="B21" s="6">
        <f>1/4</f>
        <v>0.25</v>
      </c>
      <c r="C21" s="6">
        <f>1/4</f>
        <v>0.25</v>
      </c>
      <c r="D21" s="6">
        <f>1/4</f>
        <v>0.25</v>
      </c>
      <c r="E21" s="6">
        <f>1/4</f>
        <v>0.25</v>
      </c>
      <c r="F21" s="6">
        <f>SUM(B21:E21)</f>
        <v>1</v>
      </c>
      <c r="G21" s="86"/>
    </row>
    <row r="22" spans="1:12" x14ac:dyDescent="0.25">
      <c r="A22" s="1" t="s">
        <v>42</v>
      </c>
      <c r="B22" s="6">
        <v>0.4</v>
      </c>
      <c r="C22" s="6">
        <v>0.4</v>
      </c>
      <c r="D22" s="7">
        <v>0.1</v>
      </c>
      <c r="E22" s="7">
        <v>0.1</v>
      </c>
      <c r="F22" s="6">
        <f>SUM(B22:E22)</f>
        <v>1</v>
      </c>
      <c r="G22" s="86"/>
    </row>
    <row r="23" spans="1:12" x14ac:dyDescent="0.25">
      <c r="A23" s="1" t="s">
        <v>87</v>
      </c>
      <c r="B23" s="6">
        <v>0.2</v>
      </c>
      <c r="C23" s="6">
        <v>0.2</v>
      </c>
      <c r="D23" s="7">
        <v>0.4</v>
      </c>
      <c r="E23" s="7">
        <v>0.2</v>
      </c>
      <c r="F23" s="6">
        <f>SUM(B23:E23)</f>
        <v>1</v>
      </c>
      <c r="G23" s="86"/>
    </row>
    <row r="24" spans="1:12" s="52" customFormat="1" x14ac:dyDescent="0.25">
      <c r="A24" s="53" t="s">
        <v>88</v>
      </c>
      <c r="B24" s="6">
        <v>0.2</v>
      </c>
      <c r="C24" s="6">
        <v>0.2</v>
      </c>
      <c r="D24" s="7">
        <v>0.2</v>
      </c>
      <c r="E24" s="7">
        <v>0.4</v>
      </c>
      <c r="F24" s="6">
        <f>SUM(B24:E24)</f>
        <v>1</v>
      </c>
      <c r="G24" s="86"/>
    </row>
    <row r="25" spans="1:12" x14ac:dyDescent="0.25">
      <c r="A25" s="35"/>
    </row>
    <row r="26" spans="1:12" s="61" customFormat="1" x14ac:dyDescent="0.25">
      <c r="A26" s="35"/>
      <c r="F26" s="82"/>
      <c r="G26" s="82"/>
    </row>
    <row r="27" spans="1:12" s="61" customFormat="1" x14ac:dyDescent="0.25">
      <c r="A27" s="9" t="s">
        <v>51</v>
      </c>
      <c r="B27" s="4"/>
      <c r="F27" s="82"/>
      <c r="G27" s="82"/>
    </row>
    <row r="28" spans="1:12" x14ac:dyDescent="0.25">
      <c r="A28" s="69" t="s">
        <v>86</v>
      </c>
      <c r="B28" s="69" t="s">
        <v>46</v>
      </c>
      <c r="C28" s="69" t="s">
        <v>71</v>
      </c>
      <c r="D28" s="69" t="s">
        <v>74</v>
      </c>
      <c r="E28" s="69" t="s">
        <v>1</v>
      </c>
    </row>
    <row r="29" spans="1:12" s="42" customFormat="1" ht="105" x14ac:dyDescent="0.25">
      <c r="A29" s="53" t="s">
        <v>47</v>
      </c>
      <c r="B29" s="67" t="s">
        <v>92</v>
      </c>
      <c r="C29" s="2">
        <v>406000.37109303934</v>
      </c>
      <c r="D29" s="87">
        <v>6.2577243147863013E-3</v>
      </c>
      <c r="E29" s="53">
        <v>2024</v>
      </c>
      <c r="G29" s="90"/>
    </row>
    <row r="30" spans="1:12" s="52" customFormat="1" ht="105" x14ac:dyDescent="0.25">
      <c r="A30" s="53" t="s">
        <v>48</v>
      </c>
      <c r="B30" s="67" t="s">
        <v>93</v>
      </c>
      <c r="C30" s="2">
        <v>339610.25196523999</v>
      </c>
      <c r="D30" s="87">
        <v>6.3470974264544788E-3</v>
      </c>
      <c r="E30" s="53">
        <v>2024</v>
      </c>
      <c r="G30" s="90"/>
    </row>
    <row r="31" spans="1:12" ht="105" x14ac:dyDescent="0.25">
      <c r="A31" s="53" t="s">
        <v>49</v>
      </c>
      <c r="B31" s="68" t="s">
        <v>94</v>
      </c>
      <c r="C31" s="2">
        <v>303352.00081471354</v>
      </c>
      <c r="D31" s="87">
        <v>6.339390270071933E-3</v>
      </c>
      <c r="E31" s="53">
        <v>2024</v>
      </c>
      <c r="G31" s="90"/>
      <c r="K31" s="82"/>
      <c r="L31" s="82"/>
    </row>
    <row r="32" spans="1:12" s="82" customFormat="1" ht="105" x14ac:dyDescent="0.25">
      <c r="A32" s="53" t="s">
        <v>68</v>
      </c>
      <c r="B32" s="67" t="s">
        <v>96</v>
      </c>
      <c r="C32" s="2">
        <v>287052.68728365545</v>
      </c>
      <c r="D32" s="87">
        <v>7.3698391878184357E-3</v>
      </c>
      <c r="E32" s="53">
        <v>2025</v>
      </c>
      <c r="G32" s="90"/>
      <c r="J32" s="81"/>
      <c r="K32" s="81"/>
      <c r="L32" s="81"/>
    </row>
    <row r="33" spans="1:12" s="42" customFormat="1" ht="135" x14ac:dyDescent="0.25">
      <c r="A33" s="53" t="s">
        <v>50</v>
      </c>
      <c r="B33" s="67" t="s">
        <v>98</v>
      </c>
      <c r="C33" s="2">
        <v>203215.31434031524</v>
      </c>
      <c r="D33" s="87">
        <v>8.5290674729930818E-3</v>
      </c>
      <c r="E33" s="53">
        <v>2025</v>
      </c>
      <c r="G33" s="90"/>
      <c r="J33" s="81"/>
      <c r="K33" s="81"/>
      <c r="L33" s="81"/>
    </row>
    <row r="34" spans="1:12" s="52" customFormat="1" x14ac:dyDescent="0.25">
      <c r="A34" s="53" t="s">
        <v>90</v>
      </c>
      <c r="B34" s="53" t="s">
        <v>95</v>
      </c>
      <c r="C34" s="2">
        <v>116700</v>
      </c>
      <c r="D34" s="87"/>
      <c r="E34" s="53">
        <v>2020</v>
      </c>
      <c r="G34" s="90"/>
    </row>
    <row r="35" spans="1:12" ht="75" x14ac:dyDescent="0.25">
      <c r="A35" s="53" t="s">
        <v>56</v>
      </c>
      <c r="B35" s="67" t="s">
        <v>97</v>
      </c>
      <c r="C35" s="2">
        <v>155963.91869461711</v>
      </c>
      <c r="D35" s="87"/>
      <c r="E35" s="53">
        <v>2035</v>
      </c>
      <c r="G35" s="90"/>
    </row>
    <row r="36" spans="1:12" s="82" customFormat="1" ht="90" x14ac:dyDescent="0.25">
      <c r="A36" s="53" t="s">
        <v>69</v>
      </c>
      <c r="B36" s="67" t="s">
        <v>99</v>
      </c>
      <c r="C36" s="2">
        <v>295668.58299054886</v>
      </c>
      <c r="D36" s="87"/>
      <c r="E36" s="53">
        <v>2035</v>
      </c>
      <c r="G36" s="90"/>
    </row>
    <row r="37" spans="1:12" s="52" customFormat="1" x14ac:dyDescent="0.25">
      <c r="F37" s="82"/>
      <c r="G37" s="82"/>
    </row>
    <row r="39" spans="1:12" s="61" customFormat="1" x14ac:dyDescent="0.25">
      <c r="F39" s="82"/>
      <c r="G39" s="82"/>
    </row>
    <row r="40" spans="1:12" s="52" customFormat="1" x14ac:dyDescent="0.25">
      <c r="F40" s="82"/>
      <c r="G40" s="82"/>
    </row>
    <row r="42" spans="1:12" x14ac:dyDescent="0.25">
      <c r="A42" s="3"/>
      <c r="B42" s="4"/>
    </row>
    <row r="44" spans="1:12" x14ac:dyDescent="0.25">
      <c r="A44" s="4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116"/>
  <sheetViews>
    <sheetView zoomScaleNormal="100" workbookViewId="0"/>
  </sheetViews>
  <sheetFormatPr defaultColWidth="14.7109375" defaultRowHeight="15" x14ac:dyDescent="0.25"/>
  <cols>
    <col min="1" max="1" width="21.85546875" bestFit="1" customWidth="1"/>
    <col min="2" max="3" width="11.85546875" bestFit="1" customWidth="1"/>
    <col min="4" max="4" width="12.28515625" bestFit="1" customWidth="1"/>
    <col min="5" max="5" width="11.5703125" bestFit="1" customWidth="1"/>
    <col min="6" max="9" width="11.85546875" bestFit="1" customWidth="1"/>
    <col min="10" max="10" width="11.85546875" style="82" customWidth="1"/>
  </cols>
  <sheetData>
    <row r="1" spans="1:10" x14ac:dyDescent="0.25">
      <c r="A1" t="s">
        <v>57</v>
      </c>
      <c r="B1" s="70" t="s">
        <v>9</v>
      </c>
      <c r="C1" s="70" t="s">
        <v>89</v>
      </c>
      <c r="D1" s="70" t="s">
        <v>20</v>
      </c>
      <c r="E1" s="70" t="s">
        <v>21</v>
      </c>
      <c r="F1" t="s">
        <v>17</v>
      </c>
      <c r="G1" s="70" t="s">
        <v>18</v>
      </c>
      <c r="H1" s="70" t="s">
        <v>19</v>
      </c>
      <c r="I1" s="70" t="s">
        <v>43</v>
      </c>
      <c r="J1" s="70"/>
    </row>
    <row r="2" spans="1:10" x14ac:dyDescent="0.25">
      <c r="A2" t="s">
        <v>36</v>
      </c>
      <c r="B2" s="70">
        <v>13088.37</v>
      </c>
      <c r="C2" s="70">
        <v>-24894.92</v>
      </c>
      <c r="D2" s="70">
        <v>-14312.83</v>
      </c>
      <c r="E2" s="70">
        <v>81075.5</v>
      </c>
      <c r="F2" s="70">
        <v>13739.03</v>
      </c>
      <c r="G2" s="70">
        <v>1953.65</v>
      </c>
      <c r="H2" s="70">
        <v>8128.66</v>
      </c>
      <c r="I2" s="70">
        <v>27206.32</v>
      </c>
      <c r="J2" s="70"/>
    </row>
    <row r="3" spans="1:10" x14ac:dyDescent="0.25">
      <c r="A3" t="s">
        <v>61</v>
      </c>
      <c r="B3" s="70">
        <v>-28059.03</v>
      </c>
      <c r="C3" s="70">
        <v>-61614.61</v>
      </c>
      <c r="D3" s="70">
        <v>-41812.879999999997</v>
      </c>
      <c r="E3" s="70">
        <v>-10696.65</v>
      </c>
      <c r="F3" s="70">
        <v>-35545.79</v>
      </c>
      <c r="G3" s="70">
        <v>-41120.410000000003</v>
      </c>
      <c r="H3" s="70">
        <v>-36799.21</v>
      </c>
      <c r="I3" s="70">
        <v>-30575.96</v>
      </c>
      <c r="J3" s="70"/>
    </row>
    <row r="4" spans="1:10" x14ac:dyDescent="0.25">
      <c r="A4" t="s">
        <v>62</v>
      </c>
      <c r="B4" s="70">
        <v>92218.54</v>
      </c>
      <c r="C4" s="70">
        <v>51110.85</v>
      </c>
      <c r="D4" s="70">
        <v>38010.75</v>
      </c>
      <c r="E4" s="70">
        <v>271521.89</v>
      </c>
      <c r="F4" s="70">
        <v>113215.51</v>
      </c>
      <c r="G4" s="70">
        <v>88285.02</v>
      </c>
      <c r="H4" s="70">
        <v>98174.56</v>
      </c>
      <c r="I4" s="70">
        <v>144876.78</v>
      </c>
      <c r="J4" s="70"/>
    </row>
    <row r="5" spans="1:10" x14ac:dyDescent="0.25">
      <c r="A5" t="s">
        <v>37</v>
      </c>
      <c r="B5" s="70">
        <v>-81212.66</v>
      </c>
      <c r="C5" s="70">
        <v>-119195.94</v>
      </c>
      <c r="D5" s="70">
        <v>-108613.86</v>
      </c>
      <c r="E5" s="70">
        <v>-13225.53</v>
      </c>
      <c r="F5" s="70">
        <v>-80562</v>
      </c>
      <c r="G5" s="70">
        <v>-92347.38</v>
      </c>
      <c r="H5" s="70">
        <v>-86172.37</v>
      </c>
      <c r="I5" s="70">
        <v>-67094.7</v>
      </c>
      <c r="J5" s="70"/>
    </row>
    <row r="6" spans="1:10" x14ac:dyDescent="0.25">
      <c r="A6" t="s">
        <v>38</v>
      </c>
      <c r="B6" s="70">
        <v>107389.39</v>
      </c>
      <c r="C6" s="70">
        <v>69406.11</v>
      </c>
      <c r="D6" s="70">
        <v>79988.19</v>
      </c>
      <c r="E6" s="70">
        <v>175376.52</v>
      </c>
      <c r="F6" s="70">
        <v>108040.05</v>
      </c>
      <c r="G6" s="70">
        <v>96254.67</v>
      </c>
      <c r="H6" s="70">
        <v>102429.68</v>
      </c>
      <c r="I6" s="70">
        <v>121507.35</v>
      </c>
      <c r="J6" s="70"/>
    </row>
    <row r="7" spans="1:10" x14ac:dyDescent="0.25">
      <c r="A7" t="s">
        <v>40</v>
      </c>
      <c r="B7" s="70">
        <v>12393.44</v>
      </c>
      <c r="C7" s="70">
        <v>-25589.84</v>
      </c>
      <c r="D7" s="70">
        <v>-15007.76</v>
      </c>
      <c r="E7" s="70">
        <v>80380.570000000007</v>
      </c>
      <c r="F7" s="70">
        <v>13044.1</v>
      </c>
      <c r="G7" s="70">
        <v>1258.72</v>
      </c>
      <c r="H7" s="70">
        <v>7433.73</v>
      </c>
      <c r="I7" s="70">
        <v>26511.4</v>
      </c>
      <c r="J7" s="70"/>
    </row>
    <row r="8" spans="1:10" x14ac:dyDescent="0.25">
      <c r="A8" t="s">
        <v>75</v>
      </c>
      <c r="B8" s="70">
        <v>13546.23</v>
      </c>
      <c r="C8" s="70">
        <v>-24437.05</v>
      </c>
      <c r="D8" s="70">
        <v>-13854.97</v>
      </c>
      <c r="E8" s="70">
        <v>81533.36</v>
      </c>
      <c r="F8" s="70">
        <v>14196.89</v>
      </c>
      <c r="G8" s="70">
        <v>2411.5100000000002</v>
      </c>
      <c r="H8" s="70">
        <v>8586.52</v>
      </c>
      <c r="I8" s="70">
        <v>27664.19</v>
      </c>
      <c r="J8" s="70"/>
    </row>
    <row r="9" spans="1:10" x14ac:dyDescent="0.25">
      <c r="B9" s="70"/>
      <c r="C9" s="70"/>
      <c r="D9" s="70"/>
      <c r="E9" s="70"/>
      <c r="F9" s="70"/>
      <c r="G9" s="70"/>
      <c r="H9" s="70"/>
      <c r="I9" s="70"/>
      <c r="J9" s="70"/>
    </row>
    <row r="10" spans="1:10" x14ac:dyDescent="0.25">
      <c r="A10" t="s">
        <v>58</v>
      </c>
      <c r="B10" s="70" t="s">
        <v>9</v>
      </c>
      <c r="C10" s="70" t="s">
        <v>89</v>
      </c>
      <c r="D10" s="70" t="s">
        <v>20</v>
      </c>
      <c r="E10" s="70" t="s">
        <v>21</v>
      </c>
      <c r="F10" s="70" t="s">
        <v>17</v>
      </c>
      <c r="G10" s="70" t="s">
        <v>18</v>
      </c>
      <c r="H10" s="70" t="s">
        <v>19</v>
      </c>
      <c r="I10" s="70" t="s">
        <v>43</v>
      </c>
      <c r="J10" s="70"/>
    </row>
    <row r="11" spans="1:10" s="82" customFormat="1" x14ac:dyDescent="0.25">
      <c r="A11" s="82" t="s">
        <v>36</v>
      </c>
      <c r="B11" s="70">
        <v>67962.990000000005</v>
      </c>
      <c r="C11" s="70">
        <v>22198.02</v>
      </c>
      <c r="D11" s="70">
        <v>44088.05</v>
      </c>
      <c r="E11" s="70">
        <v>134140.09</v>
      </c>
      <c r="F11" s="70">
        <v>67097.287500000006</v>
      </c>
      <c r="G11" s="70">
        <v>53887.22</v>
      </c>
      <c r="H11" s="70">
        <v>62495.44</v>
      </c>
      <c r="I11" s="70">
        <v>80505.850000000006</v>
      </c>
      <c r="J11" s="70"/>
    </row>
    <row r="12" spans="1:10" x14ac:dyDescent="0.25">
      <c r="A12" t="s">
        <v>61</v>
      </c>
      <c r="B12" s="70">
        <v>20494.52</v>
      </c>
      <c r="C12" s="70">
        <v>-17848.62</v>
      </c>
      <c r="D12" s="70">
        <v>8915.8700000000008</v>
      </c>
      <c r="E12" s="70">
        <v>40676.71</v>
      </c>
      <c r="F12" s="70">
        <v>13059.62</v>
      </c>
      <c r="G12" s="70">
        <v>6017.62</v>
      </c>
      <c r="H12" s="70">
        <v>12230.87</v>
      </c>
      <c r="I12" s="70">
        <v>18583.04</v>
      </c>
      <c r="J12" s="70"/>
    </row>
    <row r="13" spans="1:10" s="61" customFormat="1" x14ac:dyDescent="0.25">
      <c r="A13" s="61" t="s">
        <v>62</v>
      </c>
      <c r="B13" s="70">
        <v>155891.25</v>
      </c>
      <c r="C13" s="70">
        <v>100913.72</v>
      </c>
      <c r="D13" s="70">
        <v>108022.71</v>
      </c>
      <c r="E13" s="70">
        <v>322324.32</v>
      </c>
      <c r="F13" s="70">
        <v>171788</v>
      </c>
      <c r="G13" s="70">
        <v>145756.69</v>
      </c>
      <c r="H13" s="70">
        <v>159034.94</v>
      </c>
      <c r="I13" s="70">
        <v>201895.26</v>
      </c>
      <c r="J13" s="70"/>
    </row>
    <row r="14" spans="1:10" x14ac:dyDescent="0.25">
      <c r="A14" t="s">
        <v>37</v>
      </c>
      <c r="B14" s="70">
        <v>-10924.72</v>
      </c>
      <c r="C14" s="70">
        <v>-56689.69</v>
      </c>
      <c r="D14" s="70">
        <v>-34799.660000000003</v>
      </c>
      <c r="E14" s="70">
        <v>55252.37</v>
      </c>
      <c r="F14" s="70">
        <v>-11790.43</v>
      </c>
      <c r="G14" s="70">
        <v>-25000.49</v>
      </c>
      <c r="H14" s="70">
        <v>-16392.27</v>
      </c>
      <c r="I14" s="70">
        <v>1618.13</v>
      </c>
      <c r="J14" s="70"/>
    </row>
    <row r="15" spans="1:10" x14ac:dyDescent="0.25">
      <c r="A15" t="s">
        <v>38</v>
      </c>
      <c r="B15" s="70">
        <v>146850.70000000001</v>
      </c>
      <c r="C15" s="70">
        <v>101085.73</v>
      </c>
      <c r="D15" s="70">
        <v>122975.76</v>
      </c>
      <c r="E15" s="70">
        <v>213027.79</v>
      </c>
      <c r="F15" s="70">
        <v>145985</v>
      </c>
      <c r="G15" s="70">
        <v>132774.93</v>
      </c>
      <c r="H15" s="70">
        <v>141383.15</v>
      </c>
      <c r="I15" s="70">
        <v>159393.54999999999</v>
      </c>
      <c r="J15" s="70"/>
    </row>
    <row r="16" spans="1:10" x14ac:dyDescent="0.25">
      <c r="A16" t="s">
        <v>40</v>
      </c>
      <c r="B16" s="70">
        <v>67381.649999999994</v>
      </c>
      <c r="C16" s="70">
        <v>21616.68</v>
      </c>
      <c r="D16" s="70">
        <v>43506.71</v>
      </c>
      <c r="E16" s="70">
        <v>133558.74</v>
      </c>
      <c r="F16" s="70">
        <v>66515.95</v>
      </c>
      <c r="G16" s="70">
        <v>53305.88</v>
      </c>
      <c r="H16" s="70">
        <v>61914.1</v>
      </c>
      <c r="I16" s="70">
        <v>79924.5</v>
      </c>
      <c r="J16" s="70"/>
    </row>
    <row r="17" spans="1:10" x14ac:dyDescent="0.25">
      <c r="A17" t="s">
        <v>75</v>
      </c>
      <c r="B17" s="70">
        <v>68346.02</v>
      </c>
      <c r="C17" s="70">
        <v>22581.05</v>
      </c>
      <c r="D17" s="70">
        <v>44471.08</v>
      </c>
      <c r="E17" s="70">
        <v>134523.10999999999</v>
      </c>
      <c r="F17" s="70">
        <v>67480.320000000007</v>
      </c>
      <c r="G17" s="70">
        <v>54270.25</v>
      </c>
      <c r="H17" s="70">
        <v>62878.47</v>
      </c>
      <c r="I17" s="70">
        <v>80888.87</v>
      </c>
      <c r="J17" s="70"/>
    </row>
    <row r="18" spans="1:10" x14ac:dyDescent="0.25">
      <c r="B18" s="70"/>
      <c r="C18" s="70"/>
      <c r="D18" s="70"/>
      <c r="E18" s="70"/>
      <c r="F18" s="70"/>
      <c r="G18" s="70"/>
      <c r="H18" s="70"/>
      <c r="I18" s="70"/>
      <c r="J18" s="70"/>
    </row>
    <row r="19" spans="1:10" x14ac:dyDescent="0.25">
      <c r="A19" t="s">
        <v>66</v>
      </c>
      <c r="B19" s="70" t="s">
        <v>9</v>
      </c>
      <c r="C19" s="70" t="s">
        <v>89</v>
      </c>
      <c r="D19" s="70" t="s">
        <v>20</v>
      </c>
      <c r="E19" s="70" t="s">
        <v>21</v>
      </c>
      <c r="F19" s="70" t="s">
        <v>17</v>
      </c>
      <c r="G19" s="70" t="s">
        <v>18</v>
      </c>
      <c r="H19" s="70" t="s">
        <v>19</v>
      </c>
      <c r="I19" s="70" t="s">
        <v>43</v>
      </c>
      <c r="J19" s="70"/>
    </row>
    <row r="20" spans="1:10" x14ac:dyDescent="0.25">
      <c r="A20" t="s">
        <v>36</v>
      </c>
      <c r="B20" s="70">
        <v>56571.18</v>
      </c>
      <c r="C20" s="70">
        <v>8685.8799999999992</v>
      </c>
      <c r="D20" s="70">
        <v>29897.919999999998</v>
      </c>
      <c r="E20" s="70">
        <v>132820.69</v>
      </c>
      <c r="F20" s="70">
        <v>56993.917499999996</v>
      </c>
      <c r="G20" s="70">
        <v>42374.69</v>
      </c>
      <c r="H20" s="70">
        <v>51574.720000000001</v>
      </c>
      <c r="I20" s="70">
        <v>72159.27</v>
      </c>
      <c r="J20" s="70"/>
    </row>
    <row r="21" spans="1:10" x14ac:dyDescent="0.25">
      <c r="A21" t="s">
        <v>61</v>
      </c>
      <c r="B21" s="70">
        <v>12752.48</v>
      </c>
      <c r="C21" s="70">
        <v>-26737.06</v>
      </c>
      <c r="D21" s="70">
        <v>-497.78</v>
      </c>
      <c r="E21" s="70">
        <v>40309.49</v>
      </c>
      <c r="F21" s="70">
        <v>6456.78</v>
      </c>
      <c r="G21" s="70">
        <v>-1612.66</v>
      </c>
      <c r="H21" s="70">
        <v>5065.87</v>
      </c>
      <c r="I21" s="70">
        <v>13227.32</v>
      </c>
      <c r="J21" s="70"/>
    </row>
    <row r="22" spans="1:10" s="82" customFormat="1" x14ac:dyDescent="0.25">
      <c r="A22" s="82" t="s">
        <v>62</v>
      </c>
      <c r="B22" s="70">
        <v>139958.43</v>
      </c>
      <c r="C22" s="70">
        <v>80793.63</v>
      </c>
      <c r="D22" s="70">
        <v>86928.78</v>
      </c>
      <c r="E22" s="70">
        <v>321400.92</v>
      </c>
      <c r="F22" s="70">
        <v>157270.44</v>
      </c>
      <c r="G22" s="70">
        <v>129133.79</v>
      </c>
      <c r="H22" s="70">
        <v>143202.10999999999</v>
      </c>
      <c r="I22" s="70">
        <v>190096.54</v>
      </c>
      <c r="J22" s="70"/>
    </row>
    <row r="23" spans="1:10" x14ac:dyDescent="0.25">
      <c r="A23" t="s">
        <v>37</v>
      </c>
      <c r="B23" s="70">
        <v>-25885.19</v>
      </c>
      <c r="C23" s="70">
        <v>-73770.490000000005</v>
      </c>
      <c r="D23" s="70">
        <v>-52558.45</v>
      </c>
      <c r="E23" s="70">
        <v>50364.33</v>
      </c>
      <c r="F23" s="70">
        <v>-25462.45</v>
      </c>
      <c r="G23" s="70">
        <v>-40081.68</v>
      </c>
      <c r="H23" s="70">
        <v>-30881.65</v>
      </c>
      <c r="I23" s="70">
        <v>-10297.09</v>
      </c>
      <c r="J23" s="70"/>
    </row>
    <row r="24" spans="1:10" x14ac:dyDescent="0.25">
      <c r="A24" t="s">
        <v>38</v>
      </c>
      <c r="B24" s="70">
        <v>139027.54999999999</v>
      </c>
      <c r="C24" s="70">
        <v>91142.25</v>
      </c>
      <c r="D24" s="70">
        <v>112354.29</v>
      </c>
      <c r="E24" s="70">
        <v>215277.06</v>
      </c>
      <c r="F24" s="70">
        <v>139450.29</v>
      </c>
      <c r="G24" s="70">
        <v>124831.06</v>
      </c>
      <c r="H24" s="70">
        <v>134031.09</v>
      </c>
      <c r="I24" s="70">
        <v>154615.64000000001</v>
      </c>
      <c r="J24" s="70"/>
    </row>
    <row r="25" spans="1:10" x14ac:dyDescent="0.25">
      <c r="A25" t="s">
        <v>40</v>
      </c>
      <c r="B25" s="70">
        <v>55963.54</v>
      </c>
      <c r="C25" s="70">
        <v>8078.24</v>
      </c>
      <c r="D25" s="70">
        <v>29290.28</v>
      </c>
      <c r="E25" s="70">
        <v>132213.04999999999</v>
      </c>
      <c r="F25" s="70">
        <v>56386.28</v>
      </c>
      <c r="G25" s="70">
        <v>41767.050000000003</v>
      </c>
      <c r="H25" s="70">
        <v>50967.08</v>
      </c>
      <c r="I25" s="70">
        <v>71551.63</v>
      </c>
      <c r="J25" s="70"/>
    </row>
    <row r="26" spans="1:10" x14ac:dyDescent="0.25">
      <c r="A26" t="s">
        <v>75</v>
      </c>
      <c r="B26" s="70">
        <v>56971.53</v>
      </c>
      <c r="C26" s="70">
        <v>9086.23</v>
      </c>
      <c r="D26" s="70">
        <v>30298.27</v>
      </c>
      <c r="E26" s="70">
        <v>133221.04999999999</v>
      </c>
      <c r="F26" s="70">
        <v>57394.27</v>
      </c>
      <c r="G26" s="70">
        <v>42775.040000000001</v>
      </c>
      <c r="H26" s="70">
        <v>51975.07</v>
      </c>
      <c r="I26" s="70">
        <v>72559.63</v>
      </c>
      <c r="J26" s="70"/>
    </row>
    <row r="27" spans="1:10" x14ac:dyDescent="0.25">
      <c r="B27" s="70"/>
      <c r="C27" s="70"/>
      <c r="D27" s="70"/>
      <c r="E27" s="70"/>
      <c r="F27" s="70"/>
      <c r="G27" s="70"/>
      <c r="H27" s="70"/>
      <c r="I27" s="70"/>
      <c r="J27" s="70"/>
    </row>
    <row r="28" spans="1:10" x14ac:dyDescent="0.25">
      <c r="A28" t="s">
        <v>70</v>
      </c>
      <c r="B28" s="70" t="s">
        <v>9</v>
      </c>
      <c r="C28" s="70" t="s">
        <v>89</v>
      </c>
      <c r="D28" s="70" t="s">
        <v>20</v>
      </c>
      <c r="E28" s="70" t="s">
        <v>21</v>
      </c>
      <c r="F28" s="70" t="s">
        <v>17</v>
      </c>
      <c r="G28" s="70" t="s">
        <v>18</v>
      </c>
      <c r="H28" s="70" t="s">
        <v>19</v>
      </c>
      <c r="I28" s="70" t="s">
        <v>43</v>
      </c>
      <c r="J28" s="70"/>
    </row>
    <row r="29" spans="1:10" x14ac:dyDescent="0.25">
      <c r="A29" t="s">
        <v>36</v>
      </c>
      <c r="B29" s="70">
        <v>65281.21</v>
      </c>
      <c r="C29" s="70">
        <v>18729.18</v>
      </c>
      <c r="D29" s="70">
        <v>38333.42</v>
      </c>
      <c r="E29" s="70">
        <v>134663.93</v>
      </c>
      <c r="F29" s="70">
        <v>64251.94</v>
      </c>
      <c r="G29" s="70">
        <v>50903.89</v>
      </c>
      <c r="H29" s="70">
        <v>59068.23</v>
      </c>
      <c r="I29" s="70">
        <v>78334.33</v>
      </c>
      <c r="J29" s="70"/>
    </row>
    <row r="30" spans="1:10" x14ac:dyDescent="0.25">
      <c r="A30" t="s">
        <v>61</v>
      </c>
      <c r="B30" s="70">
        <v>11847.39</v>
      </c>
      <c r="C30" s="70">
        <v>-26883.68</v>
      </c>
      <c r="D30" s="70">
        <v>-314.55</v>
      </c>
      <c r="E30" s="70">
        <v>30650.75</v>
      </c>
      <c r="F30" s="70">
        <v>3824.98</v>
      </c>
      <c r="G30" s="70">
        <v>-2980.9</v>
      </c>
      <c r="H30" s="70">
        <v>2997.07</v>
      </c>
      <c r="I30" s="70">
        <v>9190.1299999999992</v>
      </c>
      <c r="J30" s="70"/>
    </row>
    <row r="31" spans="1:10" x14ac:dyDescent="0.25">
      <c r="A31" t="s">
        <v>62</v>
      </c>
      <c r="B31" s="70">
        <v>166255.17000000001</v>
      </c>
      <c r="C31" s="70">
        <v>109585.95</v>
      </c>
      <c r="D31" s="70">
        <v>109490.84</v>
      </c>
      <c r="E31" s="70">
        <v>347353.39</v>
      </c>
      <c r="F31" s="70">
        <v>183171.34</v>
      </c>
      <c r="G31" s="70">
        <v>156020.87</v>
      </c>
      <c r="H31" s="70">
        <v>168435.24</v>
      </c>
      <c r="I31" s="70">
        <v>216007.75</v>
      </c>
      <c r="J31" s="70"/>
    </row>
    <row r="32" spans="1:10" x14ac:dyDescent="0.25">
      <c r="A32" t="s">
        <v>37</v>
      </c>
      <c r="B32" s="70">
        <v>-12843.66</v>
      </c>
      <c r="C32" s="70">
        <v>-59395.69</v>
      </c>
      <c r="D32" s="70">
        <v>-39791.46</v>
      </c>
      <c r="E32" s="70">
        <v>56539.06</v>
      </c>
      <c r="F32" s="70">
        <v>-13872.94</v>
      </c>
      <c r="G32" s="70">
        <v>-27220.98</v>
      </c>
      <c r="H32" s="70">
        <v>-19056.64</v>
      </c>
      <c r="I32" s="70">
        <v>209.46</v>
      </c>
      <c r="J32" s="70"/>
    </row>
    <row r="33" spans="1:10" s="82" customFormat="1" x14ac:dyDescent="0.25">
      <c r="A33" s="82" t="s">
        <v>38</v>
      </c>
      <c r="B33" s="70">
        <v>143406.09</v>
      </c>
      <c r="C33" s="70">
        <v>96854.06</v>
      </c>
      <c r="D33" s="70">
        <v>116458.29</v>
      </c>
      <c r="E33" s="70">
        <v>212788.81</v>
      </c>
      <c r="F33" s="70">
        <v>142376.81</v>
      </c>
      <c r="G33" s="70">
        <v>129028.77</v>
      </c>
      <c r="H33" s="70">
        <v>137193.10999999999</v>
      </c>
      <c r="I33" s="70">
        <v>156459.21</v>
      </c>
      <c r="J33" s="70"/>
    </row>
    <row r="34" spans="1:10" x14ac:dyDescent="0.25">
      <c r="A34" t="s">
        <v>40</v>
      </c>
      <c r="B34" s="70">
        <v>60249.760000000002</v>
      </c>
      <c r="C34" s="70">
        <v>13697.73</v>
      </c>
      <c r="D34" s="70">
        <v>33301.96</v>
      </c>
      <c r="E34" s="70">
        <v>129632.47</v>
      </c>
      <c r="F34" s="70">
        <v>59220.480000000003</v>
      </c>
      <c r="G34" s="70">
        <v>45872.44</v>
      </c>
      <c r="H34" s="70">
        <v>54036.78</v>
      </c>
      <c r="I34" s="70">
        <v>73302.880000000005</v>
      </c>
      <c r="J34" s="70"/>
    </row>
    <row r="35" spans="1:10" x14ac:dyDescent="0.25">
      <c r="A35" t="s">
        <v>75</v>
      </c>
      <c r="B35" s="70">
        <v>68983.22</v>
      </c>
      <c r="C35" s="70">
        <v>22431.19</v>
      </c>
      <c r="D35" s="70">
        <v>42035.42</v>
      </c>
      <c r="E35" s="70">
        <v>138365.94</v>
      </c>
      <c r="F35" s="70">
        <v>67953.94</v>
      </c>
      <c r="G35" s="70">
        <v>54605.9</v>
      </c>
      <c r="H35" s="70">
        <v>62770.239999999998</v>
      </c>
      <c r="I35" s="70">
        <v>82036.34</v>
      </c>
      <c r="J35" s="70"/>
    </row>
    <row r="36" spans="1:10" x14ac:dyDescent="0.25">
      <c r="B36" s="70"/>
      <c r="C36" s="70"/>
      <c r="D36" s="70"/>
      <c r="E36" s="70"/>
      <c r="F36" s="70"/>
      <c r="G36" s="70"/>
      <c r="H36" s="70"/>
      <c r="I36" s="70"/>
      <c r="J36" s="70"/>
    </row>
    <row r="37" spans="1:10" x14ac:dyDescent="0.25">
      <c r="A37" t="s">
        <v>59</v>
      </c>
      <c r="B37" s="70" t="s">
        <v>9</v>
      </c>
      <c r="C37" s="70" t="s">
        <v>89</v>
      </c>
      <c r="D37" s="70" t="s">
        <v>20</v>
      </c>
      <c r="E37" s="70" t="s">
        <v>21</v>
      </c>
      <c r="F37" s="70" t="s">
        <v>17</v>
      </c>
      <c r="G37" s="70" t="s">
        <v>18</v>
      </c>
      <c r="H37" s="70" t="s">
        <v>19</v>
      </c>
      <c r="I37" s="70" t="s">
        <v>43</v>
      </c>
      <c r="J37" s="70"/>
    </row>
    <row r="38" spans="1:10" x14ac:dyDescent="0.25">
      <c r="A38" t="s">
        <v>36</v>
      </c>
      <c r="B38" s="70">
        <v>80287.070000000007</v>
      </c>
      <c r="C38" s="70">
        <v>33735.040000000001</v>
      </c>
      <c r="D38" s="70">
        <v>53339.27</v>
      </c>
      <c r="E38" s="70">
        <v>149669.78</v>
      </c>
      <c r="F38" s="70">
        <v>79257.789999999994</v>
      </c>
      <c r="G38" s="70">
        <v>65909.75</v>
      </c>
      <c r="H38" s="70">
        <v>74074.09</v>
      </c>
      <c r="I38" s="70">
        <v>93340.19</v>
      </c>
      <c r="J38" s="70"/>
    </row>
    <row r="39" spans="1:10" x14ac:dyDescent="0.25">
      <c r="A39" t="s">
        <v>61</v>
      </c>
      <c r="B39" s="70">
        <v>14680.08</v>
      </c>
      <c r="C39" s="70">
        <v>-24051</v>
      </c>
      <c r="D39" s="70">
        <v>2518.13</v>
      </c>
      <c r="E39" s="70">
        <v>33483.43</v>
      </c>
      <c r="F39" s="70">
        <v>6657.66</v>
      </c>
      <c r="G39" s="70">
        <v>-148.21</v>
      </c>
      <c r="H39" s="70">
        <v>5829.75</v>
      </c>
      <c r="I39" s="70">
        <v>12022.81</v>
      </c>
      <c r="J39" s="70"/>
    </row>
    <row r="40" spans="1:10" x14ac:dyDescent="0.25">
      <c r="A40" t="s">
        <v>62</v>
      </c>
      <c r="B40" s="70">
        <v>200782.12</v>
      </c>
      <c r="C40" s="70">
        <v>144112.91</v>
      </c>
      <c r="D40" s="70">
        <v>144017.79</v>
      </c>
      <c r="E40" s="70">
        <v>381880.35</v>
      </c>
      <c r="F40" s="70">
        <v>217698.29</v>
      </c>
      <c r="G40" s="70">
        <v>190547.83</v>
      </c>
      <c r="H40" s="70">
        <v>202962.19</v>
      </c>
      <c r="I40" s="70">
        <v>250534.7</v>
      </c>
      <c r="J40" s="70"/>
    </row>
    <row r="41" spans="1:10" x14ac:dyDescent="0.25">
      <c r="A41" t="s">
        <v>37</v>
      </c>
      <c r="B41" s="70">
        <v>6663.95</v>
      </c>
      <c r="C41" s="70">
        <v>-39888.080000000002</v>
      </c>
      <c r="D41" s="70">
        <v>-20283.849999999999</v>
      </c>
      <c r="E41" s="70">
        <v>76046.66</v>
      </c>
      <c r="F41" s="70">
        <v>5634.67</v>
      </c>
      <c r="G41" s="70">
        <v>-7713.37</v>
      </c>
      <c r="H41" s="70">
        <v>450.97</v>
      </c>
      <c r="I41" s="70">
        <v>19717.07</v>
      </c>
      <c r="J41" s="70"/>
    </row>
    <row r="42" spans="1:10" x14ac:dyDescent="0.25">
      <c r="A42" t="s">
        <v>38</v>
      </c>
      <c r="B42" s="70">
        <v>153910.19</v>
      </c>
      <c r="C42" s="70">
        <v>107358.15</v>
      </c>
      <c r="D42" s="70">
        <v>126962.39</v>
      </c>
      <c r="E42" s="70">
        <v>223292.9</v>
      </c>
      <c r="F42" s="70">
        <v>152880.91</v>
      </c>
      <c r="G42" s="70">
        <v>139532.87</v>
      </c>
      <c r="H42" s="70">
        <v>147697.20000000001</v>
      </c>
      <c r="I42" s="70">
        <v>166963.31</v>
      </c>
      <c r="J42" s="70"/>
    </row>
    <row r="43" spans="1:10" x14ac:dyDescent="0.25">
      <c r="A43" t="s">
        <v>40</v>
      </c>
      <c r="B43" s="70">
        <v>71251.05</v>
      </c>
      <c r="C43" s="70">
        <v>24699.02</v>
      </c>
      <c r="D43" s="70">
        <v>44303.25</v>
      </c>
      <c r="E43" s="70">
        <v>140633.76999999999</v>
      </c>
      <c r="F43" s="70">
        <v>70221.77</v>
      </c>
      <c r="G43" s="70">
        <v>56873.73</v>
      </c>
      <c r="H43" s="70">
        <v>65038.07</v>
      </c>
      <c r="I43" s="70">
        <v>84304.17</v>
      </c>
      <c r="J43" s="70"/>
    </row>
    <row r="44" spans="1:10" s="82" customFormat="1" x14ac:dyDescent="0.25">
      <c r="A44" s="82" t="s">
        <v>75</v>
      </c>
      <c r="B44" s="70">
        <v>86974.15</v>
      </c>
      <c r="C44" s="70">
        <v>40422.120000000003</v>
      </c>
      <c r="D44" s="70">
        <v>60026.35</v>
      </c>
      <c r="E44" s="70">
        <v>156356.85999999999</v>
      </c>
      <c r="F44" s="70">
        <v>85944.87</v>
      </c>
      <c r="G44" s="70">
        <v>72596.83</v>
      </c>
      <c r="H44" s="70">
        <v>80761.17</v>
      </c>
      <c r="I44" s="70">
        <v>100027.27</v>
      </c>
      <c r="J44" s="70"/>
    </row>
    <row r="45" spans="1:10" x14ac:dyDescent="0.25">
      <c r="B45" s="70"/>
      <c r="C45" s="70"/>
      <c r="D45" s="70"/>
      <c r="E45" s="70"/>
      <c r="F45" s="70"/>
      <c r="G45" s="70"/>
      <c r="H45" s="70"/>
      <c r="I45" s="70"/>
      <c r="J45" s="70"/>
    </row>
    <row r="46" spans="1:10" x14ac:dyDescent="0.25">
      <c r="A46" t="s">
        <v>91</v>
      </c>
      <c r="B46" s="70" t="s">
        <v>9</v>
      </c>
      <c r="C46" s="70" t="s">
        <v>89</v>
      </c>
      <c r="D46" s="70" t="s">
        <v>20</v>
      </c>
      <c r="E46" s="70" t="s">
        <v>21</v>
      </c>
      <c r="F46" s="70" t="s">
        <v>17</v>
      </c>
      <c r="G46" s="70" t="s">
        <v>18</v>
      </c>
      <c r="H46" s="70" t="s">
        <v>19</v>
      </c>
      <c r="I46" s="70" t="s">
        <v>43</v>
      </c>
      <c r="J46" s="70"/>
    </row>
    <row r="47" spans="1:10" x14ac:dyDescent="0.25">
      <c r="A47" t="s">
        <v>36</v>
      </c>
      <c r="B47" s="70">
        <v>-74209.179999999993</v>
      </c>
      <c r="C47" s="70">
        <v>-72219.25</v>
      </c>
      <c r="D47" s="70">
        <v>-97781.73</v>
      </c>
      <c r="E47" s="70">
        <v>-59390.879999999997</v>
      </c>
      <c r="F47" s="70">
        <v>-75900.259999999995</v>
      </c>
      <c r="G47" s="70">
        <v>-74288.63</v>
      </c>
      <c r="H47" s="70">
        <v>-80276.55</v>
      </c>
      <c r="I47" s="70">
        <v>-72598.38</v>
      </c>
      <c r="J47" s="70"/>
    </row>
    <row r="48" spans="1:10" x14ac:dyDescent="0.25">
      <c r="A48" t="s">
        <v>61</v>
      </c>
      <c r="B48" s="70">
        <v>-81529</v>
      </c>
      <c r="C48" s="70">
        <v>-79818.179999999993</v>
      </c>
      <c r="D48" s="70">
        <v>-100313.33</v>
      </c>
      <c r="E48" s="70">
        <v>-68670.460000000006</v>
      </c>
      <c r="F48" s="70">
        <v>-82582.740000000005</v>
      </c>
      <c r="G48" s="70">
        <v>-81437.25</v>
      </c>
      <c r="H48" s="70">
        <v>-86128.86</v>
      </c>
      <c r="I48" s="70">
        <v>-79800.289999999994</v>
      </c>
      <c r="J48" s="70"/>
    </row>
    <row r="49" spans="1:10" x14ac:dyDescent="0.25">
      <c r="A49" t="s">
        <v>62</v>
      </c>
      <c r="B49" s="70">
        <v>-64432.21</v>
      </c>
      <c r="C49" s="70">
        <v>-62080.26</v>
      </c>
      <c r="D49" s="70">
        <v>-94547.8</v>
      </c>
      <c r="E49" s="70">
        <v>-47239.43</v>
      </c>
      <c r="F49" s="70">
        <v>-67074.929999999993</v>
      </c>
      <c r="G49" s="70">
        <v>-64783.71</v>
      </c>
      <c r="H49" s="70">
        <v>-72569.5</v>
      </c>
      <c r="I49" s="70">
        <v>-63107.83</v>
      </c>
      <c r="J49" s="70"/>
    </row>
    <row r="50" spans="1:10" x14ac:dyDescent="0.25">
      <c r="A50" t="s">
        <v>37</v>
      </c>
      <c r="B50" s="70">
        <v>-109219.18</v>
      </c>
      <c r="C50" s="70">
        <v>-107229.25</v>
      </c>
      <c r="D50" s="70">
        <v>-132791.73000000001</v>
      </c>
      <c r="E50" s="70">
        <v>-94400.88</v>
      </c>
      <c r="F50" s="70">
        <v>-110910.26</v>
      </c>
      <c r="G50" s="70">
        <v>-109298.63</v>
      </c>
      <c r="H50" s="70">
        <v>-115286.55</v>
      </c>
      <c r="I50" s="70">
        <v>-107608.38</v>
      </c>
      <c r="J50" s="70"/>
    </row>
    <row r="51" spans="1:10" x14ac:dyDescent="0.25">
      <c r="A51" t="s">
        <v>38</v>
      </c>
      <c r="B51" s="70">
        <v>-39199.18</v>
      </c>
      <c r="C51" s="70">
        <v>-37209.25</v>
      </c>
      <c r="D51" s="70">
        <v>-62771.73</v>
      </c>
      <c r="E51" s="70">
        <v>-24380.880000000001</v>
      </c>
      <c r="F51" s="70">
        <v>-40890.26</v>
      </c>
      <c r="G51" s="70">
        <v>-39278.629999999997</v>
      </c>
      <c r="H51" s="70">
        <v>-45266.55</v>
      </c>
      <c r="I51" s="70">
        <v>-37588.379999999997</v>
      </c>
      <c r="J51" s="70"/>
    </row>
    <row r="52" spans="1:10" x14ac:dyDescent="0.25">
      <c r="A52" t="s">
        <v>40</v>
      </c>
      <c r="B52" s="70">
        <v>-74209.179999999993</v>
      </c>
      <c r="C52" s="70">
        <v>-72219.25</v>
      </c>
      <c r="D52" s="70">
        <v>-97781.73</v>
      </c>
      <c r="E52" s="70">
        <v>-59390.879999999997</v>
      </c>
      <c r="F52" s="70">
        <v>-75900.259999999995</v>
      </c>
      <c r="G52" s="70">
        <v>-74288.63</v>
      </c>
      <c r="H52" s="70">
        <v>-80276.55</v>
      </c>
      <c r="I52" s="70">
        <v>-72598.38</v>
      </c>
      <c r="J52" s="70"/>
    </row>
    <row r="53" spans="1:10" x14ac:dyDescent="0.25">
      <c r="A53" t="s">
        <v>75</v>
      </c>
      <c r="B53" s="70">
        <v>-73624.55</v>
      </c>
      <c r="C53" s="70">
        <v>-71634.63</v>
      </c>
      <c r="D53" s="70">
        <v>-97197.11</v>
      </c>
      <c r="E53" s="70">
        <v>-58806.26</v>
      </c>
      <c r="F53" s="70">
        <v>-75315.64</v>
      </c>
      <c r="G53" s="70">
        <v>-73704.009999999995</v>
      </c>
      <c r="H53" s="70">
        <v>-79691.929999999993</v>
      </c>
      <c r="I53" s="70">
        <v>-72013.759999999995</v>
      </c>
      <c r="J53" s="70"/>
    </row>
    <row r="54" spans="1:10" x14ac:dyDescent="0.25">
      <c r="B54" s="70"/>
      <c r="C54" s="70"/>
      <c r="D54" s="70"/>
      <c r="E54" s="70"/>
      <c r="F54" s="70"/>
      <c r="G54" s="70"/>
      <c r="H54" s="70"/>
      <c r="I54" s="70"/>
      <c r="J54" s="70"/>
    </row>
    <row r="55" spans="1:10" s="82" customFormat="1" x14ac:dyDescent="0.25">
      <c r="B55" s="70"/>
      <c r="C55" s="70"/>
      <c r="D55" s="70"/>
      <c r="E55" s="70"/>
      <c r="F55" s="70"/>
      <c r="G55" s="70"/>
      <c r="H55" s="70"/>
      <c r="I55" s="70"/>
      <c r="J55" s="70"/>
    </row>
    <row r="56" spans="1:10" x14ac:dyDescent="0.25">
      <c r="B56" s="70"/>
      <c r="C56" s="70"/>
      <c r="D56" s="70"/>
      <c r="E56" s="70"/>
      <c r="F56" s="70"/>
      <c r="G56" s="70"/>
      <c r="H56" s="70"/>
      <c r="I56" s="70"/>
      <c r="J56" s="70"/>
    </row>
    <row r="57" spans="1:10" x14ac:dyDescent="0.25">
      <c r="B57" s="70"/>
      <c r="C57" s="70"/>
      <c r="D57" s="70"/>
      <c r="E57" s="70"/>
      <c r="F57" s="70"/>
      <c r="G57" s="70"/>
      <c r="H57" s="70"/>
      <c r="I57" s="70"/>
      <c r="J57" s="70"/>
    </row>
    <row r="58" spans="1:10" x14ac:dyDescent="0.25">
      <c r="B58" s="70"/>
      <c r="C58" s="70"/>
      <c r="D58" s="70"/>
      <c r="E58" s="70"/>
      <c r="F58" s="70"/>
      <c r="G58" s="70"/>
      <c r="H58" s="70"/>
      <c r="I58" s="70"/>
      <c r="J58" s="70"/>
    </row>
    <row r="59" spans="1:10" x14ac:dyDescent="0.25">
      <c r="B59" s="70"/>
      <c r="C59" s="70"/>
      <c r="D59" s="70"/>
      <c r="E59" s="70"/>
      <c r="F59" s="70"/>
      <c r="G59" s="70"/>
      <c r="H59" s="70"/>
      <c r="I59" s="70"/>
      <c r="J59" s="70"/>
    </row>
    <row r="60" spans="1:10" x14ac:dyDescent="0.25">
      <c r="B60" s="70"/>
      <c r="C60" s="70"/>
      <c r="D60" s="70"/>
      <c r="E60" s="70"/>
      <c r="F60" s="70"/>
      <c r="G60" s="70"/>
      <c r="H60" s="70"/>
      <c r="I60" s="70"/>
      <c r="J60" s="70"/>
    </row>
    <row r="61" spans="1:10" x14ac:dyDescent="0.25">
      <c r="B61" s="70"/>
      <c r="C61" s="70"/>
      <c r="D61" s="70"/>
      <c r="E61" s="70"/>
      <c r="F61" s="70"/>
      <c r="G61" s="70"/>
      <c r="H61" s="70"/>
      <c r="I61" s="70"/>
      <c r="J61" s="70"/>
    </row>
    <row r="62" spans="1:10" x14ac:dyDescent="0.25">
      <c r="B62" s="70"/>
      <c r="C62" s="70"/>
      <c r="D62" s="70"/>
      <c r="E62" s="70"/>
      <c r="F62" s="70"/>
      <c r="G62" s="70"/>
      <c r="H62" s="70"/>
      <c r="I62" s="70"/>
      <c r="J62" s="70"/>
    </row>
    <row r="63" spans="1:10" x14ac:dyDescent="0.25">
      <c r="B63" s="70"/>
      <c r="C63" s="70"/>
      <c r="D63" s="70"/>
      <c r="E63" s="70"/>
      <c r="F63" s="70"/>
      <c r="G63" s="70"/>
      <c r="H63" s="70"/>
      <c r="I63" s="70"/>
      <c r="J63" s="70"/>
    </row>
    <row r="64" spans="1:10" x14ac:dyDescent="0.25">
      <c r="B64" s="70"/>
      <c r="C64" s="70"/>
      <c r="D64" s="70"/>
      <c r="E64" s="70"/>
      <c r="F64" s="70"/>
      <c r="G64" s="70"/>
      <c r="H64" s="70"/>
      <c r="I64" s="70"/>
      <c r="J64" s="70"/>
    </row>
    <row r="65" spans="2:10" x14ac:dyDescent="0.25">
      <c r="B65" s="70"/>
      <c r="C65" s="70"/>
      <c r="D65" s="70"/>
      <c r="E65" s="70"/>
      <c r="F65" s="70"/>
      <c r="G65" s="70"/>
      <c r="H65" s="70"/>
      <c r="I65" s="70"/>
      <c r="J65" s="70"/>
    </row>
    <row r="66" spans="2:10" s="82" customFormat="1" x14ac:dyDescent="0.25">
      <c r="B66" s="70"/>
      <c r="C66" s="70"/>
      <c r="D66" s="70"/>
      <c r="E66" s="70"/>
      <c r="F66" s="70"/>
      <c r="G66" s="70"/>
      <c r="H66" s="70"/>
      <c r="I66" s="70"/>
      <c r="J66" s="70"/>
    </row>
    <row r="67" spans="2:10" x14ac:dyDescent="0.25">
      <c r="B67" s="70"/>
      <c r="C67" s="70"/>
      <c r="D67" s="70"/>
      <c r="E67" s="70"/>
      <c r="F67" s="70"/>
      <c r="G67" s="70"/>
      <c r="H67" s="70"/>
      <c r="I67" s="70"/>
      <c r="J67" s="70"/>
    </row>
    <row r="68" spans="2:10" x14ac:dyDescent="0.25">
      <c r="B68" s="70"/>
      <c r="C68" s="70"/>
      <c r="D68" s="70"/>
      <c r="E68" s="70"/>
      <c r="F68" s="70"/>
      <c r="G68" s="70"/>
      <c r="H68" s="70"/>
      <c r="I68" s="70"/>
      <c r="J68" s="70"/>
    </row>
    <row r="69" spans="2:10" x14ac:dyDescent="0.25">
      <c r="B69" s="70"/>
      <c r="C69" s="70"/>
      <c r="D69" s="70"/>
      <c r="E69" s="70"/>
      <c r="F69" s="70"/>
      <c r="G69" s="70"/>
      <c r="H69" s="70"/>
      <c r="I69" s="70"/>
      <c r="J69" s="70"/>
    </row>
    <row r="70" spans="2:10" x14ac:dyDescent="0.25">
      <c r="B70" s="70"/>
      <c r="C70" s="70"/>
      <c r="D70" s="70"/>
      <c r="E70" s="70"/>
      <c r="F70" s="70"/>
      <c r="G70" s="70"/>
      <c r="H70" s="70"/>
      <c r="I70" s="70"/>
      <c r="J70" s="70"/>
    </row>
    <row r="71" spans="2:10" x14ac:dyDescent="0.25">
      <c r="B71" s="70"/>
      <c r="C71" s="70"/>
      <c r="D71" s="70"/>
      <c r="E71" s="70"/>
      <c r="F71" s="70"/>
      <c r="G71" s="70"/>
      <c r="H71" s="70"/>
      <c r="I71" s="70"/>
      <c r="J71" s="70"/>
    </row>
    <row r="72" spans="2:10" x14ac:dyDescent="0.25">
      <c r="B72" s="70"/>
      <c r="C72" s="70"/>
      <c r="D72" s="70"/>
      <c r="E72" s="70"/>
      <c r="F72" s="70"/>
      <c r="G72" s="70"/>
      <c r="H72" s="70"/>
      <c r="I72" s="70"/>
      <c r="J72" s="70"/>
    </row>
    <row r="73" spans="2:10" x14ac:dyDescent="0.25">
      <c r="B73" s="70"/>
      <c r="C73" s="70"/>
      <c r="D73" s="70"/>
      <c r="E73" s="70"/>
      <c r="F73" s="70"/>
      <c r="G73" s="70"/>
      <c r="H73" s="70"/>
      <c r="I73" s="70"/>
      <c r="J73" s="70"/>
    </row>
    <row r="74" spans="2:10" x14ac:dyDescent="0.25">
      <c r="B74" s="70"/>
      <c r="C74" s="70"/>
      <c r="D74" s="70"/>
      <c r="E74" s="70"/>
      <c r="F74" s="70"/>
      <c r="G74" s="70"/>
      <c r="H74" s="70"/>
      <c r="I74" s="70"/>
      <c r="J74" s="70"/>
    </row>
    <row r="75" spans="2:10" x14ac:dyDescent="0.25">
      <c r="B75" s="70"/>
      <c r="C75" s="70"/>
      <c r="D75" s="70"/>
      <c r="E75" s="70"/>
      <c r="F75" s="70"/>
      <c r="G75" s="70"/>
      <c r="H75" s="70"/>
      <c r="I75" s="70"/>
      <c r="J75" s="70"/>
    </row>
    <row r="76" spans="2:10" x14ac:dyDescent="0.25">
      <c r="B76" s="70"/>
      <c r="C76" s="70"/>
      <c r="D76" s="70"/>
      <c r="E76" s="70"/>
      <c r="F76" s="70"/>
      <c r="G76" s="70"/>
      <c r="H76" s="70"/>
      <c r="I76" s="70"/>
      <c r="J76" s="70"/>
    </row>
    <row r="77" spans="2:10" s="82" customFormat="1" x14ac:dyDescent="0.25">
      <c r="B77" s="70"/>
      <c r="C77" s="70"/>
      <c r="D77" s="70"/>
      <c r="E77" s="70"/>
      <c r="F77" s="70"/>
      <c r="G77" s="70"/>
      <c r="H77" s="70"/>
      <c r="I77" s="70"/>
      <c r="J77" s="70"/>
    </row>
    <row r="80" spans="2:10" x14ac:dyDescent="0.25">
      <c r="B80" s="70"/>
      <c r="C80" s="70"/>
      <c r="D80" s="70"/>
      <c r="E80" s="70"/>
      <c r="F80" s="70"/>
      <c r="G80" s="70"/>
      <c r="H80" s="70"/>
      <c r="I80" s="70"/>
      <c r="J80" s="70"/>
    </row>
    <row r="81" spans="2:10" x14ac:dyDescent="0.25">
      <c r="B81" s="70"/>
      <c r="C81" s="70"/>
      <c r="D81" s="70"/>
      <c r="E81" s="70"/>
      <c r="F81" s="70"/>
      <c r="G81" s="70"/>
      <c r="H81" s="70"/>
      <c r="I81" s="70"/>
      <c r="J81" s="70"/>
    </row>
    <row r="82" spans="2:10" x14ac:dyDescent="0.25">
      <c r="B82" s="70"/>
      <c r="C82" s="70"/>
      <c r="D82" s="70"/>
      <c r="E82" s="70"/>
      <c r="F82" s="70"/>
      <c r="G82" s="70"/>
      <c r="H82" s="70"/>
      <c r="I82" s="70"/>
      <c r="J82" s="70"/>
    </row>
    <row r="83" spans="2:10" x14ac:dyDescent="0.25">
      <c r="B83" s="70"/>
      <c r="C83" s="70"/>
      <c r="D83" s="70"/>
      <c r="E83" s="70"/>
      <c r="F83" s="70"/>
      <c r="G83" s="70"/>
      <c r="H83" s="70"/>
      <c r="I83" s="70"/>
      <c r="J83" s="70"/>
    </row>
    <row r="84" spans="2:10" x14ac:dyDescent="0.25">
      <c r="B84" s="70"/>
      <c r="C84" s="70"/>
      <c r="D84" s="70"/>
      <c r="E84" s="70"/>
      <c r="F84" s="70"/>
      <c r="G84" s="70"/>
      <c r="H84" s="70"/>
      <c r="I84" s="70"/>
      <c r="J84" s="70"/>
    </row>
    <row r="85" spans="2:10" x14ac:dyDescent="0.25">
      <c r="B85" s="70"/>
      <c r="C85" s="70"/>
      <c r="D85" s="70"/>
      <c r="E85" s="70"/>
      <c r="F85" s="70"/>
      <c r="G85" s="70"/>
      <c r="H85" s="70"/>
      <c r="I85" s="70"/>
      <c r="J85" s="70"/>
    </row>
    <row r="86" spans="2:10" x14ac:dyDescent="0.25">
      <c r="B86" s="70"/>
      <c r="C86" s="70"/>
      <c r="D86" s="70"/>
      <c r="E86" s="70"/>
      <c r="F86" s="70"/>
      <c r="G86" s="70"/>
      <c r="H86" s="70"/>
      <c r="I86" s="70"/>
      <c r="J86" s="70"/>
    </row>
    <row r="87" spans="2:10" x14ac:dyDescent="0.25">
      <c r="B87" s="70"/>
      <c r="C87" s="70"/>
      <c r="D87" s="70"/>
      <c r="E87" s="70"/>
      <c r="F87" s="70"/>
      <c r="G87" s="70"/>
      <c r="H87" s="70"/>
      <c r="I87" s="70"/>
      <c r="J87" s="70"/>
    </row>
    <row r="88" spans="2:10" x14ac:dyDescent="0.25">
      <c r="B88" s="70"/>
      <c r="C88" s="70"/>
      <c r="D88" s="70"/>
      <c r="E88" s="70"/>
      <c r="F88" s="70"/>
      <c r="G88" s="70"/>
      <c r="H88" s="70"/>
      <c r="I88" s="70"/>
      <c r="J88" s="70"/>
    </row>
    <row r="89" spans="2:10" x14ac:dyDescent="0.25">
      <c r="B89" s="70"/>
      <c r="C89" s="70"/>
      <c r="D89" s="70"/>
      <c r="E89" s="70"/>
      <c r="F89" s="70"/>
      <c r="G89" s="70"/>
      <c r="H89" s="70"/>
      <c r="I89" s="70"/>
      <c r="J89" s="70"/>
    </row>
    <row r="90" spans="2:10" x14ac:dyDescent="0.25">
      <c r="B90" s="70"/>
      <c r="C90" s="70"/>
      <c r="D90" s="70"/>
      <c r="E90" s="70"/>
      <c r="F90" s="70"/>
      <c r="G90" s="70"/>
      <c r="H90" s="70"/>
      <c r="I90" s="70"/>
      <c r="J90" s="70"/>
    </row>
    <row r="91" spans="2:10" x14ac:dyDescent="0.25">
      <c r="B91" s="70"/>
      <c r="C91" s="70"/>
      <c r="D91" s="70"/>
      <c r="E91" s="70"/>
      <c r="F91" s="70"/>
      <c r="G91" s="70"/>
      <c r="H91" s="70"/>
      <c r="I91" s="70"/>
      <c r="J91" s="70"/>
    </row>
    <row r="92" spans="2:10" x14ac:dyDescent="0.25">
      <c r="B92" s="70"/>
      <c r="C92" s="70"/>
      <c r="D92" s="70"/>
      <c r="E92" s="70"/>
      <c r="F92" s="70"/>
      <c r="G92" s="70"/>
      <c r="H92" s="70"/>
      <c r="I92" s="70"/>
      <c r="J92" s="70"/>
    </row>
    <row r="93" spans="2:10" x14ac:dyDescent="0.25">
      <c r="B93" s="70"/>
      <c r="C93" s="70"/>
      <c r="D93" s="70"/>
      <c r="E93" s="70"/>
      <c r="F93" s="70"/>
      <c r="G93" s="70"/>
      <c r="H93" s="70"/>
      <c r="I93" s="70"/>
      <c r="J93" s="70"/>
    </row>
    <row r="94" spans="2:10" x14ac:dyDescent="0.25">
      <c r="B94" s="70"/>
      <c r="C94" s="70"/>
      <c r="D94" s="70"/>
      <c r="E94" s="70"/>
      <c r="F94" s="70"/>
      <c r="G94" s="70"/>
      <c r="H94" s="70"/>
      <c r="I94" s="70"/>
      <c r="J94" s="70"/>
    </row>
    <row r="95" spans="2:10" x14ac:dyDescent="0.25">
      <c r="B95" s="70"/>
      <c r="C95" s="70"/>
      <c r="D95" s="70"/>
      <c r="E95" s="70"/>
      <c r="F95" s="70"/>
      <c r="G95" s="70"/>
      <c r="H95" s="70"/>
      <c r="I95" s="70"/>
      <c r="J95" s="70"/>
    </row>
    <row r="96" spans="2:10" x14ac:dyDescent="0.25">
      <c r="B96" s="70"/>
      <c r="C96" s="70"/>
      <c r="D96" s="70"/>
      <c r="E96" s="70"/>
      <c r="F96" s="70"/>
      <c r="G96" s="70"/>
      <c r="H96" s="70"/>
      <c r="I96" s="70"/>
      <c r="J96" s="70"/>
    </row>
    <row r="97" spans="2:10" x14ac:dyDescent="0.25">
      <c r="B97" s="70"/>
      <c r="C97" s="70"/>
      <c r="D97" s="70"/>
      <c r="E97" s="70"/>
      <c r="F97" s="70"/>
      <c r="G97" s="70"/>
      <c r="H97" s="70"/>
      <c r="I97" s="70"/>
      <c r="J97" s="70"/>
    </row>
    <row r="98" spans="2:10" x14ac:dyDescent="0.25">
      <c r="B98" s="70"/>
      <c r="C98" s="70"/>
      <c r="D98" s="70"/>
      <c r="E98" s="70"/>
      <c r="F98" s="70"/>
      <c r="G98" s="70"/>
      <c r="H98" s="70"/>
      <c r="I98" s="70"/>
      <c r="J98" s="70"/>
    </row>
    <row r="99" spans="2:10" x14ac:dyDescent="0.25">
      <c r="B99" s="70"/>
      <c r="C99" s="70"/>
      <c r="D99" s="70"/>
      <c r="E99" s="70"/>
      <c r="F99" s="70"/>
      <c r="G99" s="70"/>
      <c r="H99" s="70"/>
      <c r="I99" s="70"/>
      <c r="J99" s="70"/>
    </row>
    <row r="100" spans="2:10" x14ac:dyDescent="0.25">
      <c r="B100" s="70"/>
      <c r="C100" s="70"/>
      <c r="D100" s="70"/>
      <c r="E100" s="70"/>
      <c r="F100" s="70"/>
      <c r="G100" s="70"/>
      <c r="H100" s="70"/>
      <c r="I100" s="70"/>
      <c r="J100" s="70"/>
    </row>
    <row r="101" spans="2:10" x14ac:dyDescent="0.25">
      <c r="B101" s="70"/>
      <c r="C101" s="70"/>
      <c r="D101" s="70"/>
      <c r="E101" s="70"/>
      <c r="F101" s="70"/>
      <c r="G101" s="70"/>
      <c r="H101" s="70"/>
      <c r="I101" s="70"/>
      <c r="J101" s="70"/>
    </row>
    <row r="102" spans="2:10" x14ac:dyDescent="0.25">
      <c r="B102" s="70"/>
      <c r="C102" s="70"/>
      <c r="D102" s="70"/>
      <c r="E102" s="70"/>
      <c r="F102" s="70"/>
      <c r="G102" s="70"/>
      <c r="H102" s="70"/>
      <c r="I102" s="70"/>
      <c r="J102" s="70"/>
    </row>
    <row r="103" spans="2:10" x14ac:dyDescent="0.25">
      <c r="B103" s="70"/>
      <c r="C103" s="70"/>
      <c r="D103" s="70"/>
      <c r="E103" s="70"/>
      <c r="F103" s="70"/>
      <c r="G103" s="70"/>
      <c r="H103" s="70"/>
      <c r="I103" s="70"/>
      <c r="J103" s="70"/>
    </row>
    <row r="106" spans="2:10" x14ac:dyDescent="0.25">
      <c r="B106" s="70"/>
      <c r="C106" s="70"/>
      <c r="D106" s="70"/>
      <c r="E106" s="70"/>
      <c r="F106" s="70"/>
      <c r="G106" s="70"/>
      <c r="H106" s="70"/>
      <c r="I106" s="70"/>
      <c r="J106" s="70"/>
    </row>
    <row r="107" spans="2:10" x14ac:dyDescent="0.25">
      <c r="B107" s="70"/>
      <c r="C107" s="70"/>
      <c r="D107" s="70"/>
      <c r="E107" s="70"/>
      <c r="F107" s="70"/>
      <c r="G107" s="70"/>
      <c r="H107" s="70"/>
      <c r="I107" s="70"/>
      <c r="J107" s="70"/>
    </row>
    <row r="108" spans="2:10" x14ac:dyDescent="0.25">
      <c r="B108" s="70"/>
      <c r="C108" s="70"/>
      <c r="D108" s="70"/>
      <c r="E108" s="70"/>
      <c r="F108" s="70"/>
      <c r="G108" s="70"/>
      <c r="H108" s="70"/>
      <c r="I108" s="70"/>
      <c r="J108" s="70"/>
    </row>
    <row r="109" spans="2:10" x14ac:dyDescent="0.25">
      <c r="B109" s="70"/>
      <c r="C109" s="70"/>
      <c r="D109" s="70"/>
      <c r="E109" s="70"/>
      <c r="F109" s="70"/>
      <c r="G109" s="70"/>
      <c r="H109" s="70"/>
      <c r="I109" s="70"/>
      <c r="J109" s="70"/>
    </row>
    <row r="110" spans="2:10" x14ac:dyDescent="0.25">
      <c r="B110" s="70"/>
      <c r="C110" s="70"/>
      <c r="D110" s="70"/>
      <c r="E110" s="70"/>
      <c r="F110" s="70"/>
      <c r="G110" s="70"/>
      <c r="H110" s="70"/>
      <c r="I110" s="70"/>
      <c r="J110" s="70"/>
    </row>
    <row r="111" spans="2:10" x14ac:dyDescent="0.25">
      <c r="B111" s="70"/>
      <c r="C111" s="70"/>
      <c r="D111" s="70"/>
      <c r="E111" s="70"/>
      <c r="F111" s="70"/>
      <c r="G111" s="70"/>
      <c r="H111" s="70"/>
      <c r="I111" s="70"/>
      <c r="J111" s="70"/>
    </row>
    <row r="112" spans="2:10" x14ac:dyDescent="0.25">
      <c r="B112" s="70"/>
      <c r="C112" s="70"/>
      <c r="D112" s="70"/>
      <c r="E112" s="70"/>
      <c r="F112" s="70"/>
      <c r="G112" s="70"/>
      <c r="H112" s="70"/>
      <c r="I112" s="70"/>
      <c r="J112" s="70"/>
    </row>
    <row r="113" spans="2:10" x14ac:dyDescent="0.25">
      <c r="B113" s="70"/>
      <c r="C113" s="70"/>
      <c r="D113" s="70"/>
      <c r="E113" s="70"/>
      <c r="F113" s="70"/>
      <c r="G113" s="70"/>
      <c r="H113" s="70"/>
      <c r="I113" s="70"/>
      <c r="J113" s="70"/>
    </row>
    <row r="114" spans="2:10" x14ac:dyDescent="0.25">
      <c r="B114" s="70"/>
      <c r="C114" s="70"/>
      <c r="D114" s="70"/>
      <c r="E114" s="70"/>
      <c r="F114" s="70"/>
      <c r="G114" s="70"/>
      <c r="H114" s="70"/>
      <c r="I114" s="70"/>
      <c r="J114" s="70"/>
    </row>
    <row r="115" spans="2:10" x14ac:dyDescent="0.25">
      <c r="B115" s="70"/>
      <c r="C115" s="70"/>
      <c r="D115" s="70"/>
      <c r="E115" s="70"/>
      <c r="F115" s="70"/>
      <c r="G115" s="70"/>
      <c r="H115" s="70"/>
      <c r="I115" s="70"/>
      <c r="J115" s="70"/>
    </row>
    <row r="116" spans="2:10" x14ac:dyDescent="0.25">
      <c r="B116" s="70"/>
      <c r="C116" s="70"/>
      <c r="D116" s="70"/>
      <c r="E116" s="70"/>
      <c r="F116" s="70"/>
      <c r="G116" s="70"/>
      <c r="H116" s="70"/>
      <c r="I116" s="70"/>
      <c r="J116" s="70"/>
    </row>
  </sheetData>
  <dataConsolidate/>
  <conditionalFormatting sqref="B1:J10 B12:J21 B23:J32 B45:J54 B56:J65 B67:J76 B78:J1048576 B34:J43">
    <cfRule type="cellIs" dxfId="26" priority="101" operator="lessThan">
      <formula>0</formula>
    </cfRule>
  </conditionalFormatting>
  <conditionalFormatting sqref="B11:J11">
    <cfRule type="cellIs" dxfId="25" priority="85" operator="lessThan">
      <formula>0</formula>
    </cfRule>
  </conditionalFormatting>
  <conditionalFormatting sqref="B22:J22">
    <cfRule type="cellIs" dxfId="24" priority="67" operator="lessThan">
      <formula>0</formula>
    </cfRule>
  </conditionalFormatting>
  <conditionalFormatting sqref="B55:J55">
    <cfRule type="cellIs" dxfId="23" priority="58" operator="lessThan">
      <formula>0</formula>
    </cfRule>
  </conditionalFormatting>
  <conditionalFormatting sqref="B33:J33">
    <cfRule type="cellIs" dxfId="22" priority="64" operator="lessThan">
      <formula>0</formula>
    </cfRule>
  </conditionalFormatting>
  <conditionalFormatting sqref="B66:J66">
    <cfRule type="cellIs" dxfId="21" priority="55" operator="lessThan">
      <formula>0</formula>
    </cfRule>
  </conditionalFormatting>
  <conditionalFormatting sqref="B44:J44">
    <cfRule type="cellIs" dxfId="20" priority="61" operator="lessThan">
      <formula>0</formula>
    </cfRule>
  </conditionalFormatting>
  <conditionalFormatting sqref="B77:J77">
    <cfRule type="cellIs" dxfId="19" priority="52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303F6-972D-4194-8955-837F40F22CF8}">
  <sheetPr codeName="Sheet9"/>
  <dimension ref="A1:I49"/>
  <sheetViews>
    <sheetView workbookViewId="0"/>
  </sheetViews>
  <sheetFormatPr defaultRowHeight="15" x14ac:dyDescent="0.25"/>
  <cols>
    <col min="1" max="1" width="20" style="44" customWidth="1"/>
    <col min="2" max="7" width="13.42578125" style="29" customWidth="1"/>
    <col min="8" max="8" width="9.140625" style="29"/>
    <col min="9" max="16384" width="9.140625" style="44"/>
  </cols>
  <sheetData>
    <row r="1" spans="1:9" s="11" customFormat="1" x14ac:dyDescent="0.25">
      <c r="A1" s="11" t="s">
        <v>60</v>
      </c>
      <c r="B1" s="71" t="s">
        <v>47</v>
      </c>
      <c r="C1" s="71" t="s">
        <v>48</v>
      </c>
      <c r="D1" s="71" t="s">
        <v>49</v>
      </c>
      <c r="E1" s="71" t="s">
        <v>68</v>
      </c>
      <c r="F1" s="71" t="s">
        <v>50</v>
      </c>
      <c r="G1" s="71" t="s">
        <v>90</v>
      </c>
      <c r="H1" s="71"/>
    </row>
    <row r="2" spans="1:9" x14ac:dyDescent="0.25">
      <c r="A2" s="11" t="str">
        <f>Assumptions!$A$21</f>
        <v>Set A - all equal</v>
      </c>
      <c r="B2" s="76">
        <v>13739.03</v>
      </c>
      <c r="C2" s="76">
        <v>67097.287500000006</v>
      </c>
      <c r="D2" s="76">
        <v>56993.917499999996</v>
      </c>
      <c r="E2" s="76">
        <v>64251.94</v>
      </c>
      <c r="F2" s="76">
        <v>79257.789999999994</v>
      </c>
      <c r="G2" s="76">
        <v>-75900.259999999995</v>
      </c>
      <c r="H2" s="80"/>
      <c r="I2" s="80"/>
    </row>
    <row r="3" spans="1:9" x14ac:dyDescent="0.25">
      <c r="A3" s="11" t="str">
        <f>Assumptions!$A$22</f>
        <v>Set B - more Neutral</v>
      </c>
      <c r="B3" s="76">
        <v>1953.65</v>
      </c>
      <c r="C3" s="76">
        <v>53887.22</v>
      </c>
      <c r="D3" s="76">
        <v>42374.69</v>
      </c>
      <c r="E3" s="76">
        <v>50903.89</v>
      </c>
      <c r="F3" s="76">
        <v>65909.75</v>
      </c>
      <c r="G3" s="76">
        <v>-74288.63</v>
      </c>
    </row>
    <row r="4" spans="1:9" x14ac:dyDescent="0.25">
      <c r="A4" s="11" t="str">
        <f>Assumptions!$A$23</f>
        <v>Set C - Slow Change</v>
      </c>
      <c r="B4" s="76">
        <v>8128.66</v>
      </c>
      <c r="C4" s="76">
        <v>62495.44</v>
      </c>
      <c r="D4" s="76">
        <v>51574.720000000001</v>
      </c>
      <c r="E4" s="76">
        <v>59068.23</v>
      </c>
      <c r="F4" s="76">
        <v>74074.09</v>
      </c>
      <c r="G4" s="76">
        <v>-80276.55</v>
      </c>
    </row>
    <row r="5" spans="1:9" x14ac:dyDescent="0.25">
      <c r="A5" s="11" t="str">
        <f>Assumptions!$A$24</f>
        <v>Set D - Fast Change</v>
      </c>
      <c r="B5" s="76">
        <v>27206.32</v>
      </c>
      <c r="C5" s="76">
        <v>80505.850000000006</v>
      </c>
      <c r="D5" s="76">
        <v>72159.27</v>
      </c>
      <c r="E5" s="76">
        <v>78334.33</v>
      </c>
      <c r="F5" s="76">
        <v>93340.19</v>
      </c>
      <c r="G5" s="76">
        <v>-72598.38</v>
      </c>
    </row>
    <row r="6" spans="1:9" x14ac:dyDescent="0.25">
      <c r="A6" s="11" t="str">
        <f>Assumptions!$A$21</f>
        <v>Set A - all equal</v>
      </c>
      <c r="B6" s="29">
        <v>5</v>
      </c>
      <c r="C6" s="29">
        <v>2</v>
      </c>
      <c r="D6" s="29">
        <v>4</v>
      </c>
      <c r="E6" s="29">
        <v>3</v>
      </c>
      <c r="F6" s="29">
        <v>1</v>
      </c>
      <c r="G6" s="29">
        <v>6</v>
      </c>
    </row>
    <row r="7" spans="1:9" x14ac:dyDescent="0.25">
      <c r="A7" s="11" t="str">
        <f>Assumptions!$A$22</f>
        <v>Set B - more Neutral</v>
      </c>
      <c r="B7" s="29">
        <v>5</v>
      </c>
      <c r="C7" s="29">
        <v>2</v>
      </c>
      <c r="D7" s="29">
        <v>4</v>
      </c>
      <c r="E7" s="29">
        <v>3</v>
      </c>
      <c r="F7" s="29">
        <v>1</v>
      </c>
      <c r="G7" s="29">
        <v>6</v>
      </c>
    </row>
    <row r="8" spans="1:9" x14ac:dyDescent="0.25">
      <c r="A8" s="11" t="str">
        <f>Assumptions!$A$23</f>
        <v>Set C - Slow Change</v>
      </c>
      <c r="B8" s="29">
        <v>5</v>
      </c>
      <c r="C8" s="29">
        <v>2</v>
      </c>
      <c r="D8" s="29">
        <v>4</v>
      </c>
      <c r="E8" s="29">
        <v>3</v>
      </c>
      <c r="F8" s="29">
        <v>1</v>
      </c>
      <c r="G8" s="29">
        <v>6</v>
      </c>
    </row>
    <row r="9" spans="1:9" x14ac:dyDescent="0.25">
      <c r="A9" s="11" t="str">
        <f>Assumptions!$A$24</f>
        <v>Set D - Fast Change</v>
      </c>
      <c r="B9" s="29">
        <v>5</v>
      </c>
      <c r="C9" s="29">
        <v>2</v>
      </c>
      <c r="D9" s="29">
        <v>4</v>
      </c>
      <c r="E9" s="29">
        <v>3</v>
      </c>
      <c r="F9" s="29">
        <v>1</v>
      </c>
      <c r="G9" s="29">
        <v>6</v>
      </c>
    </row>
    <row r="10" spans="1:9" x14ac:dyDescent="0.25">
      <c r="B10" s="77"/>
    </row>
    <row r="11" spans="1:9" x14ac:dyDescent="0.25">
      <c r="A11" s="89" t="s">
        <v>63</v>
      </c>
      <c r="B11" s="84" t="s">
        <v>47</v>
      </c>
      <c r="C11" s="84" t="s">
        <v>48</v>
      </c>
      <c r="D11" s="84" t="s">
        <v>49</v>
      </c>
      <c r="E11" s="84" t="s">
        <v>68</v>
      </c>
      <c r="F11" s="84" t="s">
        <v>50</v>
      </c>
      <c r="G11" s="71" t="s">
        <v>90</v>
      </c>
    </row>
    <row r="12" spans="1:9" x14ac:dyDescent="0.25">
      <c r="A12" s="11" t="str">
        <f>Assumptions!$A$21</f>
        <v>Set A - all equal</v>
      </c>
      <c r="B12" s="76">
        <v>-35545.79</v>
      </c>
      <c r="C12" s="76">
        <v>13059.62</v>
      </c>
      <c r="D12" s="76">
        <v>6456.78</v>
      </c>
      <c r="E12" s="76">
        <v>3824.98</v>
      </c>
      <c r="F12" s="76">
        <v>6657.66</v>
      </c>
      <c r="G12" s="76">
        <v>-82582.740000000005</v>
      </c>
    </row>
    <row r="13" spans="1:9" x14ac:dyDescent="0.25">
      <c r="A13" s="11" t="str">
        <f>Assumptions!$A$22</f>
        <v>Set B - more Neutral</v>
      </c>
      <c r="B13" s="76">
        <v>-41120.410000000003</v>
      </c>
      <c r="C13" s="76">
        <v>6017.62</v>
      </c>
      <c r="D13" s="76">
        <v>-1612.66</v>
      </c>
      <c r="E13" s="76">
        <v>-2980.9</v>
      </c>
      <c r="F13" s="76">
        <v>-148.21</v>
      </c>
      <c r="G13" s="76">
        <v>-81437.25</v>
      </c>
    </row>
    <row r="14" spans="1:9" x14ac:dyDescent="0.25">
      <c r="A14" s="11" t="str">
        <f>Assumptions!$A$23</f>
        <v>Set C - Slow Change</v>
      </c>
      <c r="B14" s="76">
        <v>-36799.21</v>
      </c>
      <c r="C14" s="76">
        <v>12230.87</v>
      </c>
      <c r="D14" s="76">
        <v>5065.87</v>
      </c>
      <c r="E14" s="76">
        <v>2997.07</v>
      </c>
      <c r="F14" s="76">
        <v>5829.75</v>
      </c>
      <c r="G14" s="76">
        <v>-86128.86</v>
      </c>
    </row>
    <row r="15" spans="1:9" x14ac:dyDescent="0.25">
      <c r="A15" s="11" t="str">
        <f>Assumptions!$A$24</f>
        <v>Set D - Fast Change</v>
      </c>
      <c r="B15" s="76">
        <v>-30575.96</v>
      </c>
      <c r="C15" s="76">
        <v>18583.04</v>
      </c>
      <c r="D15" s="76">
        <v>13227.32</v>
      </c>
      <c r="E15" s="76">
        <v>9190.1299999999992</v>
      </c>
      <c r="F15" s="76">
        <v>12022.81</v>
      </c>
      <c r="G15" s="76">
        <v>-79800.289999999994</v>
      </c>
    </row>
    <row r="16" spans="1:9" x14ac:dyDescent="0.25">
      <c r="A16" s="11" t="str">
        <f>Assumptions!$A$21</f>
        <v>Set A - all equal</v>
      </c>
      <c r="B16" s="29">
        <v>5</v>
      </c>
      <c r="C16" s="29">
        <v>1</v>
      </c>
      <c r="D16" s="29">
        <v>3</v>
      </c>
      <c r="E16" s="29">
        <v>4</v>
      </c>
      <c r="F16" s="29">
        <v>2</v>
      </c>
      <c r="G16" s="29">
        <v>6</v>
      </c>
    </row>
    <row r="17" spans="1:8" x14ac:dyDescent="0.25">
      <c r="A17" s="11" t="str">
        <f>Assumptions!$A$22</f>
        <v>Set B - more Neutral</v>
      </c>
      <c r="B17" s="29">
        <v>5</v>
      </c>
      <c r="C17" s="29">
        <v>1</v>
      </c>
      <c r="D17" s="29">
        <v>3</v>
      </c>
      <c r="E17" s="29">
        <v>4</v>
      </c>
      <c r="F17" s="29">
        <v>2</v>
      </c>
      <c r="G17" s="29">
        <v>6</v>
      </c>
    </row>
    <row r="18" spans="1:8" x14ac:dyDescent="0.25">
      <c r="A18" s="11" t="str">
        <f>Assumptions!$A$23</f>
        <v>Set C - Slow Change</v>
      </c>
      <c r="B18" s="29">
        <v>5</v>
      </c>
      <c r="C18" s="29">
        <v>1</v>
      </c>
      <c r="D18" s="29">
        <v>3</v>
      </c>
      <c r="E18" s="29">
        <v>4</v>
      </c>
      <c r="F18" s="29">
        <v>2</v>
      </c>
      <c r="G18" s="29">
        <v>6</v>
      </c>
    </row>
    <row r="19" spans="1:8" x14ac:dyDescent="0.25">
      <c r="A19" s="11" t="str">
        <f>Assumptions!$A$24</f>
        <v>Set D - Fast Change</v>
      </c>
      <c r="B19" s="29">
        <v>5</v>
      </c>
      <c r="C19" s="29">
        <v>1</v>
      </c>
      <c r="D19" s="29">
        <v>2</v>
      </c>
      <c r="E19" s="29">
        <v>4</v>
      </c>
      <c r="F19" s="29">
        <v>3</v>
      </c>
      <c r="G19" s="29">
        <v>6</v>
      </c>
    </row>
    <row r="21" spans="1:8" x14ac:dyDescent="0.25">
      <c r="A21" s="11" t="s">
        <v>79</v>
      </c>
      <c r="B21" s="84" t="s">
        <v>47</v>
      </c>
      <c r="C21" s="84" t="s">
        <v>48</v>
      </c>
      <c r="D21" s="84" t="s">
        <v>49</v>
      </c>
      <c r="E21" s="84" t="s">
        <v>68</v>
      </c>
      <c r="F21" s="84" t="s">
        <v>50</v>
      </c>
      <c r="G21" s="71" t="s">
        <v>90</v>
      </c>
    </row>
    <row r="22" spans="1:8" x14ac:dyDescent="0.25">
      <c r="A22" s="11" t="str">
        <f>Assumptions!$A$21</f>
        <v>Set A - all equal</v>
      </c>
      <c r="B22" s="76">
        <v>113215.51</v>
      </c>
      <c r="C22" s="76">
        <v>171788</v>
      </c>
      <c r="D22" s="76">
        <v>157270.44</v>
      </c>
      <c r="E22" s="76">
        <v>183171.34</v>
      </c>
      <c r="F22" s="76">
        <v>217698.29</v>
      </c>
      <c r="G22" s="76">
        <v>-67074.929999999993</v>
      </c>
    </row>
    <row r="23" spans="1:8" x14ac:dyDescent="0.25">
      <c r="A23" s="11" t="str">
        <f>Assumptions!$A$22</f>
        <v>Set B - more Neutral</v>
      </c>
      <c r="B23" s="76">
        <v>88285.02</v>
      </c>
      <c r="C23" s="76">
        <v>145756.69</v>
      </c>
      <c r="D23" s="76">
        <v>129133.79</v>
      </c>
      <c r="E23" s="76">
        <v>156020.87</v>
      </c>
      <c r="F23" s="76">
        <v>190547.83</v>
      </c>
      <c r="G23" s="76">
        <v>-64783.71</v>
      </c>
    </row>
    <row r="24" spans="1:8" x14ac:dyDescent="0.25">
      <c r="A24" s="11" t="str">
        <f>Assumptions!$A$23</f>
        <v>Set C - Slow Change</v>
      </c>
      <c r="B24" s="76">
        <v>98174.56</v>
      </c>
      <c r="C24" s="76">
        <v>159034.94</v>
      </c>
      <c r="D24" s="76">
        <v>143202.10999999999</v>
      </c>
      <c r="E24" s="76">
        <v>168435.24</v>
      </c>
      <c r="F24" s="76">
        <v>202962.19</v>
      </c>
      <c r="G24" s="76">
        <v>-72569.5</v>
      </c>
    </row>
    <row r="25" spans="1:8" x14ac:dyDescent="0.25">
      <c r="A25" s="11" t="str">
        <f>Assumptions!$A$24</f>
        <v>Set D - Fast Change</v>
      </c>
      <c r="B25" s="76">
        <v>144876.78</v>
      </c>
      <c r="C25" s="76">
        <v>201895.26</v>
      </c>
      <c r="D25" s="76">
        <v>190096.54</v>
      </c>
      <c r="E25" s="76">
        <v>216007.75</v>
      </c>
      <c r="F25" s="76">
        <v>250534.7</v>
      </c>
      <c r="G25" s="76">
        <v>-63107.83</v>
      </c>
    </row>
    <row r="26" spans="1:8" x14ac:dyDescent="0.25">
      <c r="A26" s="11" t="str">
        <f>Assumptions!$A$21</f>
        <v>Set A - all equal</v>
      </c>
      <c r="B26" s="29">
        <v>5</v>
      </c>
      <c r="C26" s="29">
        <v>3</v>
      </c>
      <c r="D26" s="29">
        <v>4</v>
      </c>
      <c r="E26" s="29">
        <v>2</v>
      </c>
      <c r="F26" s="29">
        <v>1</v>
      </c>
      <c r="G26" s="29">
        <v>6</v>
      </c>
    </row>
    <row r="27" spans="1:8" x14ac:dyDescent="0.25">
      <c r="A27" s="11" t="str">
        <f>Assumptions!$A$22</f>
        <v>Set B - more Neutral</v>
      </c>
      <c r="B27" s="29">
        <v>5</v>
      </c>
      <c r="C27" s="29">
        <v>3</v>
      </c>
      <c r="D27" s="29">
        <v>4</v>
      </c>
      <c r="E27" s="29">
        <v>2</v>
      </c>
      <c r="F27" s="29">
        <v>1</v>
      </c>
      <c r="G27" s="29">
        <v>6</v>
      </c>
    </row>
    <row r="28" spans="1:8" x14ac:dyDescent="0.25">
      <c r="A28" s="11" t="str">
        <f>Assumptions!$A$23</f>
        <v>Set C - Slow Change</v>
      </c>
      <c r="B28" s="29">
        <v>5</v>
      </c>
      <c r="C28" s="29">
        <v>3</v>
      </c>
      <c r="D28" s="29">
        <v>4</v>
      </c>
      <c r="E28" s="29">
        <v>2</v>
      </c>
      <c r="F28" s="29">
        <v>1</v>
      </c>
      <c r="G28" s="29">
        <v>6</v>
      </c>
    </row>
    <row r="29" spans="1:8" x14ac:dyDescent="0.25">
      <c r="A29" s="11" t="str">
        <f>Assumptions!$A$24</f>
        <v>Set D - Fast Change</v>
      </c>
      <c r="B29" s="29">
        <v>5</v>
      </c>
      <c r="C29" s="29">
        <v>3</v>
      </c>
      <c r="D29" s="29">
        <v>4</v>
      </c>
      <c r="E29" s="29">
        <v>2</v>
      </c>
      <c r="F29" s="29">
        <v>1</v>
      </c>
      <c r="G29" s="29">
        <v>6</v>
      </c>
    </row>
    <row r="31" spans="1:8" s="65" customFormat="1" x14ac:dyDescent="0.25">
      <c r="A31" s="89" t="s">
        <v>65</v>
      </c>
      <c r="B31" s="84" t="s">
        <v>47</v>
      </c>
      <c r="C31" s="84" t="s">
        <v>48</v>
      </c>
      <c r="D31" s="84" t="s">
        <v>49</v>
      </c>
      <c r="E31" s="84" t="s">
        <v>68</v>
      </c>
      <c r="F31" s="84" t="s">
        <v>50</v>
      </c>
      <c r="G31" s="71" t="s">
        <v>90</v>
      </c>
      <c r="H31" s="29"/>
    </row>
    <row r="32" spans="1:8" s="65" customFormat="1" x14ac:dyDescent="0.25">
      <c r="A32" s="11" t="str">
        <f>Assumptions!$A$21</f>
        <v>Set A - all equal</v>
      </c>
      <c r="B32" s="76">
        <v>-80562</v>
      </c>
      <c r="C32" s="76">
        <v>-11790.43</v>
      </c>
      <c r="D32" s="76">
        <v>-25462.45</v>
      </c>
      <c r="E32" s="76">
        <v>-13872.94</v>
      </c>
      <c r="F32" s="76">
        <v>5634.67</v>
      </c>
      <c r="G32" s="76">
        <v>-110910.26</v>
      </c>
      <c r="H32" s="29"/>
    </row>
    <row r="33" spans="1:8" s="65" customFormat="1" x14ac:dyDescent="0.25">
      <c r="A33" s="11" t="str">
        <f>Assumptions!$A$22</f>
        <v>Set B - more Neutral</v>
      </c>
      <c r="B33" s="76">
        <v>-92347.38</v>
      </c>
      <c r="C33" s="76">
        <v>-25000.49</v>
      </c>
      <c r="D33" s="76">
        <v>-40081.68</v>
      </c>
      <c r="E33" s="76">
        <v>-27220.98</v>
      </c>
      <c r="F33" s="76">
        <v>-7713.37</v>
      </c>
      <c r="G33" s="76">
        <v>-109298.63</v>
      </c>
      <c r="H33" s="29"/>
    </row>
    <row r="34" spans="1:8" s="65" customFormat="1" x14ac:dyDescent="0.25">
      <c r="A34" s="11" t="str">
        <f>Assumptions!$A$23</f>
        <v>Set C - Slow Change</v>
      </c>
      <c r="B34" s="76">
        <v>-86172.37</v>
      </c>
      <c r="C34" s="76">
        <v>-16392.27</v>
      </c>
      <c r="D34" s="76">
        <v>-30881.65</v>
      </c>
      <c r="E34" s="76">
        <v>-19056.64</v>
      </c>
      <c r="F34" s="76">
        <v>450.97</v>
      </c>
      <c r="G34" s="76">
        <v>-115286.55</v>
      </c>
      <c r="H34" s="29"/>
    </row>
    <row r="35" spans="1:8" s="65" customFormat="1" x14ac:dyDescent="0.25">
      <c r="A35" s="11" t="str">
        <f>Assumptions!$A$24</f>
        <v>Set D - Fast Change</v>
      </c>
      <c r="B35" s="76">
        <v>-67094.7</v>
      </c>
      <c r="C35" s="76">
        <v>1618.13</v>
      </c>
      <c r="D35" s="76">
        <v>-10297.09</v>
      </c>
      <c r="E35" s="76">
        <v>209.46</v>
      </c>
      <c r="F35" s="76">
        <v>19717.07</v>
      </c>
      <c r="G35" s="76">
        <v>-107608.38</v>
      </c>
      <c r="H35" s="29"/>
    </row>
    <row r="36" spans="1:8" s="65" customFormat="1" x14ac:dyDescent="0.25">
      <c r="A36" s="11" t="str">
        <f>Assumptions!$A$21</f>
        <v>Set A - all equal</v>
      </c>
      <c r="B36" s="29">
        <v>5</v>
      </c>
      <c r="C36" s="29">
        <v>2</v>
      </c>
      <c r="D36" s="29">
        <v>4</v>
      </c>
      <c r="E36" s="29">
        <v>3</v>
      </c>
      <c r="F36" s="29">
        <v>1</v>
      </c>
      <c r="G36" s="29">
        <v>6</v>
      </c>
      <c r="H36" s="29"/>
    </row>
    <row r="37" spans="1:8" s="65" customFormat="1" x14ac:dyDescent="0.25">
      <c r="A37" s="11" t="str">
        <f>Assumptions!$A$22</f>
        <v>Set B - more Neutral</v>
      </c>
      <c r="B37" s="29">
        <v>5</v>
      </c>
      <c r="C37" s="29">
        <v>2</v>
      </c>
      <c r="D37" s="29">
        <v>4</v>
      </c>
      <c r="E37" s="29">
        <v>3</v>
      </c>
      <c r="F37" s="29">
        <v>1</v>
      </c>
      <c r="G37" s="29">
        <v>6</v>
      </c>
      <c r="H37" s="29"/>
    </row>
    <row r="38" spans="1:8" s="65" customFormat="1" x14ac:dyDescent="0.25">
      <c r="A38" s="11" t="str">
        <f>Assumptions!$A$23</f>
        <v>Set C - Slow Change</v>
      </c>
      <c r="B38" s="29">
        <v>5</v>
      </c>
      <c r="C38" s="29">
        <v>2</v>
      </c>
      <c r="D38" s="29">
        <v>4</v>
      </c>
      <c r="E38" s="29">
        <v>3</v>
      </c>
      <c r="F38" s="29">
        <v>1</v>
      </c>
      <c r="G38" s="29">
        <v>6</v>
      </c>
      <c r="H38" s="29"/>
    </row>
    <row r="39" spans="1:8" s="65" customFormat="1" x14ac:dyDescent="0.25">
      <c r="A39" s="11" t="str">
        <f>Assumptions!$A$24</f>
        <v>Set D - Fast Change</v>
      </c>
      <c r="B39" s="29">
        <v>5</v>
      </c>
      <c r="C39" s="29">
        <v>2</v>
      </c>
      <c r="D39" s="29">
        <v>4</v>
      </c>
      <c r="E39" s="29">
        <v>3</v>
      </c>
      <c r="F39" s="29">
        <v>1</v>
      </c>
      <c r="G39" s="29">
        <v>6</v>
      </c>
      <c r="H39" s="29"/>
    </row>
    <row r="40" spans="1:8" s="65" customFormat="1" x14ac:dyDescent="0.25">
      <c r="B40" s="29"/>
      <c r="C40" s="29"/>
      <c r="D40" s="29"/>
      <c r="E40" s="29"/>
      <c r="F40" s="29"/>
      <c r="G40" s="29"/>
      <c r="H40" s="29"/>
    </row>
    <row r="41" spans="1:8" x14ac:dyDescent="0.25">
      <c r="A41" s="11" t="s">
        <v>80</v>
      </c>
      <c r="B41" s="84" t="s">
        <v>47</v>
      </c>
      <c r="C41" s="84" t="s">
        <v>48</v>
      </c>
      <c r="D41" s="84" t="s">
        <v>49</v>
      </c>
      <c r="E41" s="84" t="s">
        <v>68</v>
      </c>
      <c r="F41" s="84" t="s">
        <v>50</v>
      </c>
      <c r="G41" s="71" t="s">
        <v>90</v>
      </c>
    </row>
    <row r="42" spans="1:8" x14ac:dyDescent="0.25">
      <c r="A42" s="11" t="str">
        <f>Assumptions!$A$21</f>
        <v>Set A - all equal</v>
      </c>
      <c r="B42" s="76">
        <v>108040.05</v>
      </c>
      <c r="C42" s="76">
        <v>145985</v>
      </c>
      <c r="D42" s="76">
        <v>139450.29</v>
      </c>
      <c r="E42" s="76">
        <v>142376.81</v>
      </c>
      <c r="F42" s="76">
        <v>152880.91</v>
      </c>
      <c r="G42" s="76">
        <v>-40890.26</v>
      </c>
    </row>
    <row r="43" spans="1:8" x14ac:dyDescent="0.25">
      <c r="A43" s="11" t="str">
        <f>Assumptions!$A$22</f>
        <v>Set B - more Neutral</v>
      </c>
      <c r="B43" s="76">
        <v>96254.67</v>
      </c>
      <c r="C43" s="76">
        <v>132774.93</v>
      </c>
      <c r="D43" s="76">
        <v>124831.06</v>
      </c>
      <c r="E43" s="76">
        <v>129028.77</v>
      </c>
      <c r="F43" s="76">
        <v>139532.87</v>
      </c>
      <c r="G43" s="76">
        <v>-39278.629999999997</v>
      </c>
    </row>
    <row r="44" spans="1:8" x14ac:dyDescent="0.25">
      <c r="A44" s="11" t="str">
        <f>Assumptions!$A$23</f>
        <v>Set C - Slow Change</v>
      </c>
      <c r="B44" s="76">
        <v>102429.68</v>
      </c>
      <c r="C44" s="76">
        <v>141383.15</v>
      </c>
      <c r="D44" s="76">
        <v>134031.09</v>
      </c>
      <c r="E44" s="76">
        <v>137193.10999999999</v>
      </c>
      <c r="F44" s="76">
        <v>147697.20000000001</v>
      </c>
      <c r="G44" s="76">
        <v>-45266.55</v>
      </c>
    </row>
    <row r="45" spans="1:8" x14ac:dyDescent="0.25">
      <c r="A45" s="11" t="str">
        <f>Assumptions!$A$24</f>
        <v>Set D - Fast Change</v>
      </c>
      <c r="B45" s="76">
        <v>121507.35</v>
      </c>
      <c r="C45" s="76">
        <v>159393.54999999999</v>
      </c>
      <c r="D45" s="76">
        <v>154615.64000000001</v>
      </c>
      <c r="E45" s="76">
        <v>156459.21</v>
      </c>
      <c r="F45" s="76">
        <v>166963.31</v>
      </c>
      <c r="G45" s="76">
        <v>-37588.379999999997</v>
      </c>
    </row>
    <row r="46" spans="1:8" x14ac:dyDescent="0.25">
      <c r="A46" s="11" t="str">
        <f>Assumptions!$A$21</f>
        <v>Set A - all equal</v>
      </c>
      <c r="B46" s="29">
        <v>5</v>
      </c>
      <c r="C46" s="29">
        <v>2</v>
      </c>
      <c r="D46" s="29">
        <v>4</v>
      </c>
      <c r="E46" s="29">
        <v>3</v>
      </c>
      <c r="F46" s="29">
        <v>1</v>
      </c>
      <c r="G46" s="29">
        <v>6</v>
      </c>
    </row>
    <row r="47" spans="1:8" x14ac:dyDescent="0.25">
      <c r="A47" s="11" t="str">
        <f>Assumptions!$A$22</f>
        <v>Set B - more Neutral</v>
      </c>
      <c r="B47" s="29">
        <v>5</v>
      </c>
      <c r="C47" s="29">
        <v>2</v>
      </c>
      <c r="D47" s="29">
        <v>4</v>
      </c>
      <c r="E47" s="29">
        <v>3</v>
      </c>
      <c r="F47" s="29">
        <v>1</v>
      </c>
      <c r="G47" s="29">
        <v>6</v>
      </c>
    </row>
    <row r="48" spans="1:8" x14ac:dyDescent="0.25">
      <c r="A48" s="11" t="str">
        <f>Assumptions!$A$23</f>
        <v>Set C - Slow Change</v>
      </c>
      <c r="B48" s="29">
        <v>5</v>
      </c>
      <c r="C48" s="29">
        <v>2</v>
      </c>
      <c r="D48" s="29">
        <v>4</v>
      </c>
      <c r="E48" s="29">
        <v>3</v>
      </c>
      <c r="F48" s="29">
        <v>1</v>
      </c>
      <c r="G48" s="29">
        <v>6</v>
      </c>
    </row>
    <row r="49" spans="1:7" x14ac:dyDescent="0.25">
      <c r="A49" s="11" t="str">
        <f>Assumptions!$A$24</f>
        <v>Set D - Fast Change</v>
      </c>
      <c r="B49" s="29">
        <v>5</v>
      </c>
      <c r="C49" s="29">
        <v>2</v>
      </c>
      <c r="D49" s="29">
        <v>4</v>
      </c>
      <c r="E49" s="29">
        <v>3</v>
      </c>
      <c r="F49" s="29">
        <v>1</v>
      </c>
      <c r="G49" s="29">
        <v>6</v>
      </c>
    </row>
  </sheetData>
  <conditionalFormatting sqref="B2:G5">
    <cfRule type="cellIs" dxfId="18" priority="59" operator="lessThan">
      <formula>0</formula>
    </cfRule>
  </conditionalFormatting>
  <conditionalFormatting sqref="B12:G15">
    <cfRule type="cellIs" dxfId="17" priority="52" operator="lessThan">
      <formula>0</formula>
    </cfRule>
  </conditionalFormatting>
  <conditionalFormatting sqref="B22:G25">
    <cfRule type="cellIs" dxfId="16" priority="50" operator="lessThan">
      <formula>0</formula>
    </cfRule>
  </conditionalFormatting>
  <conditionalFormatting sqref="B42:G45">
    <cfRule type="cellIs" dxfId="15" priority="48" operator="lessThan">
      <formula>0</formula>
    </cfRule>
  </conditionalFormatting>
  <conditionalFormatting sqref="G2:G5">
    <cfRule type="cellIs" dxfId="14" priority="30" operator="lessThan">
      <formula>0</formula>
    </cfRule>
  </conditionalFormatting>
  <conditionalFormatting sqref="G12:G15">
    <cfRule type="cellIs" dxfId="13" priority="29" operator="lessThan">
      <formula>0</formula>
    </cfRule>
  </conditionalFormatting>
  <conditionalFormatting sqref="G22:G25">
    <cfRule type="cellIs" dxfId="12" priority="28" operator="lessThan">
      <formula>0</formula>
    </cfRule>
  </conditionalFormatting>
  <conditionalFormatting sqref="G42:G45">
    <cfRule type="cellIs" dxfId="11" priority="27" operator="lessThan">
      <formula>0</formula>
    </cfRule>
  </conditionalFormatting>
  <conditionalFormatting sqref="B32:G35">
    <cfRule type="cellIs" dxfId="10" priority="8" operator="lessThan">
      <formula>0</formula>
    </cfRule>
  </conditionalFormatting>
  <conditionalFormatting sqref="G32:G35">
    <cfRule type="cellIs" dxfId="9" priority="7" operator="lessThan">
      <formula>0</formula>
    </cfRule>
  </conditionalFormatting>
  <conditionalFormatting sqref="B6:G9">
    <cfRule type="colorScale" priority="103">
      <colorScale>
        <cfvo type="min"/>
        <cfvo type="percentile" val="50"/>
        <cfvo type="max"/>
        <color rgb="FF92D050"/>
        <color rgb="FFFFEB84"/>
        <color rgb="FFE15243"/>
      </colorScale>
    </cfRule>
  </conditionalFormatting>
  <conditionalFormatting sqref="B16:G19">
    <cfRule type="colorScale" priority="104">
      <colorScale>
        <cfvo type="min"/>
        <cfvo type="percentile" val="50"/>
        <cfvo type="max"/>
        <color rgb="FF92D050"/>
        <color rgb="FFFFEB84"/>
        <color rgb="FFE15243"/>
      </colorScale>
    </cfRule>
  </conditionalFormatting>
  <conditionalFormatting sqref="B26:G29">
    <cfRule type="colorScale" priority="105">
      <colorScale>
        <cfvo type="min"/>
        <cfvo type="percentile" val="50"/>
        <cfvo type="max"/>
        <color rgb="FF92D050"/>
        <color rgb="FFFFEB84"/>
        <color rgb="FFE15243"/>
      </colorScale>
    </cfRule>
  </conditionalFormatting>
  <conditionalFormatting sqref="B46:G49">
    <cfRule type="colorScale" priority="106">
      <colorScale>
        <cfvo type="min"/>
        <cfvo type="percentile" val="50"/>
        <cfvo type="max"/>
        <color rgb="FF92D050"/>
        <color rgb="FFFFEB84"/>
        <color rgb="FFE15243"/>
      </colorScale>
    </cfRule>
  </conditionalFormatting>
  <conditionalFormatting sqref="B36:G39">
    <cfRule type="colorScale" priority="107">
      <colorScale>
        <cfvo type="min"/>
        <cfvo type="percentile" val="50"/>
        <cfvo type="max"/>
        <color rgb="FF92D050"/>
        <color rgb="FFFFEB84"/>
        <color rgb="FFE15243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A115"/>
  <sheetViews>
    <sheetView zoomScale="70" zoomScaleNormal="70" workbookViewId="0"/>
  </sheetViews>
  <sheetFormatPr defaultColWidth="14.7109375" defaultRowHeight="15" x14ac:dyDescent="0.25"/>
  <cols>
    <col min="1" max="1" width="14.140625" style="42" customWidth="1"/>
    <col min="2" max="2" width="14.7109375" style="42"/>
    <col min="3" max="3" width="24.140625" style="42" customWidth="1"/>
    <col min="4" max="4" width="14.7109375" style="42"/>
    <col min="5" max="5" width="15.7109375" style="42" customWidth="1"/>
    <col min="6" max="16384" width="14.7109375" style="42"/>
  </cols>
  <sheetData>
    <row r="1" spans="1:22" s="65" customFormat="1" x14ac:dyDescent="0.25">
      <c r="A1" s="9" t="s">
        <v>12</v>
      </c>
      <c r="C1" s="9" t="s">
        <v>14</v>
      </c>
    </row>
    <row r="2" spans="1:22" s="61" customFormat="1" x14ac:dyDescent="0.25">
      <c r="A2" s="13" t="s">
        <v>8</v>
      </c>
      <c r="B2" s="85">
        <v>0.06</v>
      </c>
      <c r="C2" s="20">
        <f>Discount_rate</f>
        <v>0.06</v>
      </c>
    </row>
    <row r="3" spans="1:22" s="61" customFormat="1" x14ac:dyDescent="0.25">
      <c r="A3" s="31" t="s">
        <v>13</v>
      </c>
      <c r="B3" s="24">
        <v>406000.37</v>
      </c>
      <c r="C3" s="32">
        <f>Option_B2_Cost+$E$47</f>
        <v>406000.37109303934</v>
      </c>
    </row>
    <row r="4" spans="1:22" s="61" customFormat="1" x14ac:dyDescent="0.25">
      <c r="A4" s="31" t="s">
        <v>34</v>
      </c>
      <c r="B4" s="15">
        <v>30</v>
      </c>
      <c r="C4" s="19">
        <f>Network_payment_duration_years</f>
        <v>30</v>
      </c>
    </row>
    <row r="5" spans="1:22" s="61" customFormat="1" x14ac:dyDescent="0.25">
      <c r="A5" s="11"/>
      <c r="B5" s="25"/>
      <c r="D5" s="65"/>
      <c r="E5" s="65"/>
      <c r="F5" s="82"/>
    </row>
    <row r="6" spans="1:22" s="61" customFormat="1" x14ac:dyDescent="0.25">
      <c r="A6" s="30" t="s">
        <v>15</v>
      </c>
      <c r="B6" s="31" t="s">
        <v>9</v>
      </c>
      <c r="C6" s="10" t="s">
        <v>89</v>
      </c>
      <c r="D6" s="10" t="s">
        <v>20</v>
      </c>
      <c r="E6" s="10" t="s">
        <v>21</v>
      </c>
      <c r="F6" s="82"/>
    </row>
    <row r="7" spans="1:22" s="61" customFormat="1" x14ac:dyDescent="0.25">
      <c r="A7" s="30" t="s">
        <v>7</v>
      </c>
      <c r="B7" s="24">
        <f>E25</f>
        <v>13088.367516737955</v>
      </c>
      <c r="C7" s="24">
        <f>L25</f>
        <v>-24894.917756878247</v>
      </c>
      <c r="D7" s="24">
        <f>S25</f>
        <v>-14312.834907470504</v>
      </c>
      <c r="E7" s="24">
        <f>Z25</f>
        <v>81075.497961710847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T7" s="29"/>
      <c r="U7" s="29"/>
      <c r="V7" s="29"/>
    </row>
    <row r="8" spans="1:22" s="61" customFormat="1" x14ac:dyDescent="0.25">
      <c r="A8" s="11"/>
      <c r="B8" s="25"/>
      <c r="D8" s="65"/>
      <c r="E8" s="65"/>
      <c r="G8" s="29"/>
      <c r="H8" s="29"/>
      <c r="I8" s="29"/>
      <c r="J8" s="29"/>
      <c r="K8" s="29"/>
      <c r="L8" s="29"/>
      <c r="M8" s="29"/>
      <c r="N8" s="29"/>
      <c r="O8" s="29"/>
      <c r="P8" s="29"/>
      <c r="T8" s="29"/>
      <c r="U8" s="29"/>
      <c r="V8" s="29"/>
    </row>
    <row r="9" spans="1:22" s="65" customFormat="1" x14ac:dyDescent="0.25">
      <c r="A9" s="30" t="str">
        <f>Assumptions!A20</f>
        <v>Scenario weightings</v>
      </c>
      <c r="B9" s="5" t="str">
        <f>Assumptions!B20</f>
        <v>Neutral</v>
      </c>
      <c r="C9" s="5" t="str">
        <f>Assumptions!C20</f>
        <v>NeutralWS</v>
      </c>
      <c r="D9" s="5" t="str">
        <f>Assumptions!D20</f>
        <v>Slow Change</v>
      </c>
      <c r="E9" s="5" t="str">
        <f>Assumptions!E20</f>
        <v>Fast Change</v>
      </c>
      <c r="F9" s="5" t="str">
        <f>Assumptions!F20</f>
        <v>Total</v>
      </c>
    </row>
    <row r="10" spans="1:22" s="65" customFormat="1" x14ac:dyDescent="0.25">
      <c r="A10" s="31" t="str">
        <f>Assumptions!A21</f>
        <v>Set A - all equal</v>
      </c>
      <c r="B10" s="7">
        <f>Assumptions!B21</f>
        <v>0.25</v>
      </c>
      <c r="C10" s="7">
        <f>Assumptions!C21</f>
        <v>0.25</v>
      </c>
      <c r="D10" s="7">
        <f>Assumptions!D21</f>
        <v>0.25</v>
      </c>
      <c r="E10" s="7">
        <f>Assumptions!E21</f>
        <v>0.25</v>
      </c>
      <c r="F10" s="7">
        <f>Assumptions!F21</f>
        <v>1</v>
      </c>
    </row>
    <row r="11" spans="1:22" s="65" customFormat="1" x14ac:dyDescent="0.25">
      <c r="A11" s="31" t="str">
        <f>Assumptions!A22</f>
        <v>Set B - more Neutral</v>
      </c>
      <c r="B11" s="7">
        <f>Assumptions!B22</f>
        <v>0.4</v>
      </c>
      <c r="C11" s="7">
        <f>Assumptions!C22</f>
        <v>0.4</v>
      </c>
      <c r="D11" s="7">
        <f>Assumptions!D22</f>
        <v>0.1</v>
      </c>
      <c r="E11" s="7">
        <f>Assumptions!E22</f>
        <v>0.1</v>
      </c>
      <c r="F11" s="7">
        <f>Assumptions!F22</f>
        <v>1</v>
      </c>
    </row>
    <row r="12" spans="1:22" s="65" customFormat="1" x14ac:dyDescent="0.25">
      <c r="A12" s="31" t="str">
        <f>Assumptions!A23</f>
        <v>Set C - Slow Change</v>
      </c>
      <c r="B12" s="7">
        <f>Assumptions!B23</f>
        <v>0.2</v>
      </c>
      <c r="C12" s="7">
        <f>Assumptions!C23</f>
        <v>0.2</v>
      </c>
      <c r="D12" s="7">
        <f>Assumptions!D23</f>
        <v>0.4</v>
      </c>
      <c r="E12" s="7">
        <f>Assumptions!E23</f>
        <v>0.2</v>
      </c>
      <c r="F12" s="7">
        <f>Assumptions!F23</f>
        <v>1</v>
      </c>
    </row>
    <row r="13" spans="1:22" s="65" customFormat="1" x14ac:dyDescent="0.25">
      <c r="A13" s="31" t="str">
        <f>Assumptions!A24</f>
        <v>Set D - Fast Change</v>
      </c>
      <c r="B13" s="7">
        <f>Assumptions!B24</f>
        <v>0.2</v>
      </c>
      <c r="C13" s="7">
        <f>Assumptions!C24</f>
        <v>0.2</v>
      </c>
      <c r="D13" s="7">
        <f>Assumptions!D24</f>
        <v>0.2</v>
      </c>
      <c r="E13" s="7">
        <f>Assumptions!E24</f>
        <v>0.4</v>
      </c>
      <c r="F13" s="7">
        <f>Assumptions!F24</f>
        <v>1</v>
      </c>
    </row>
    <row r="14" spans="1:22" s="65" customFormat="1" x14ac:dyDescent="0.25">
      <c r="A14" s="11"/>
      <c r="B14" s="72"/>
      <c r="C14" s="72"/>
      <c r="D14" s="72"/>
      <c r="E14" s="72"/>
      <c r="F14" s="72"/>
    </row>
    <row r="15" spans="1:22" s="65" customFormat="1" x14ac:dyDescent="0.25">
      <c r="A15" s="33"/>
      <c r="B15" s="5" t="s">
        <v>35</v>
      </c>
      <c r="C15" s="33" t="str">
        <f ca="1">MID(CELL("filename",C1),FIND("]",CELL("filename",C1))+1,255)</f>
        <v>Benefits - Option B2</v>
      </c>
      <c r="D15" s="2" t="s">
        <v>9</v>
      </c>
      <c r="E15" s="2" t="s">
        <v>89</v>
      </c>
      <c r="F15" s="2" t="s">
        <v>20</v>
      </c>
      <c r="G15" s="2" t="s">
        <v>21</v>
      </c>
      <c r="H15" s="2" t="s">
        <v>17</v>
      </c>
      <c r="I15" s="92" t="s">
        <v>18</v>
      </c>
      <c r="J15" s="92" t="s">
        <v>19</v>
      </c>
      <c r="K15" s="92" t="s">
        <v>43</v>
      </c>
      <c r="L15" s="29"/>
      <c r="M15" s="29"/>
      <c r="N15" s="29"/>
      <c r="O15" s="29"/>
      <c r="P15" s="29"/>
      <c r="T15" s="29"/>
      <c r="U15" s="29"/>
      <c r="V15" s="29"/>
    </row>
    <row r="16" spans="1:22" s="82" customFormat="1" x14ac:dyDescent="0.25">
      <c r="A16" s="22" t="s">
        <v>8</v>
      </c>
      <c r="B16" s="23">
        <f>Assumptions!B9+Discount_rate</f>
        <v>0.06</v>
      </c>
      <c r="C16" s="57" t="s">
        <v>36</v>
      </c>
      <c r="D16" s="2">
        <v>13088.37</v>
      </c>
      <c r="E16" s="2">
        <v>-24894.92</v>
      </c>
      <c r="F16" s="2">
        <v>-14312.83</v>
      </c>
      <c r="G16" s="2">
        <v>81075.5</v>
      </c>
      <c r="H16" s="2">
        <f>$B$10*$D16+$C$10*$E16+$D$10*$F16+$E$10*$G16</f>
        <v>13739.03</v>
      </c>
      <c r="I16" s="2">
        <f t="shared" ref="I16:I22" si="0">$B$11*$D16+$C$11*$E16+$D$11*$F16+$E$11*$G16</f>
        <v>1953.6469999999999</v>
      </c>
      <c r="J16" s="2">
        <f t="shared" ref="J16:J22" si="1">$B$12*$D16+$C$12*$E16+$D$12*$F16+$E$12*$G16</f>
        <v>8128.6579999999994</v>
      </c>
      <c r="K16" s="2">
        <f t="shared" ref="K16:K22" si="2">$B$13*$D16+$C$13*$E16+$D$13*$F16+$E$13*$G16</f>
        <v>27206.324000000001</v>
      </c>
      <c r="L16" s="29"/>
      <c r="M16" s="29"/>
      <c r="N16" s="29"/>
      <c r="O16" s="29"/>
      <c r="P16" s="29"/>
      <c r="T16" s="29"/>
      <c r="U16" s="29"/>
      <c r="V16" s="29"/>
    </row>
    <row r="17" spans="1:26" s="82" customFormat="1" x14ac:dyDescent="0.25">
      <c r="A17" s="22"/>
      <c r="B17" s="23">
        <f>Assumptions!B10+Discount_rate</f>
        <v>8.4999999999999992E-2</v>
      </c>
      <c r="C17" s="22" t="str">
        <f>"Discount rate " &amp;Assumptions!B10</f>
        <v>Discount rate 0.025</v>
      </c>
      <c r="D17" s="2">
        <v>-28059.03</v>
      </c>
      <c r="E17" s="2">
        <v>-61614.61</v>
      </c>
      <c r="F17" s="2">
        <v>-41812.879999999997</v>
      </c>
      <c r="G17" s="2">
        <v>-10696.65</v>
      </c>
      <c r="H17" s="2">
        <f t="shared" ref="H17:H22" si="3">$B$10*$D17+$C$10*$E17+$D$10*$F17+$E$10*$G17</f>
        <v>-35545.792499999996</v>
      </c>
      <c r="I17" s="2">
        <f t="shared" si="0"/>
        <v>-41120.409000000007</v>
      </c>
      <c r="J17" s="2">
        <f t="shared" si="1"/>
        <v>-36799.210000000006</v>
      </c>
      <c r="K17" s="2">
        <f t="shared" si="2"/>
        <v>-30575.964000000004</v>
      </c>
      <c r="L17" s="29"/>
      <c r="M17" s="29"/>
      <c r="N17" s="29"/>
      <c r="O17" s="29"/>
      <c r="P17" s="29"/>
      <c r="T17" s="29"/>
      <c r="U17" s="29"/>
      <c r="V17" s="29"/>
    </row>
    <row r="18" spans="1:26" s="82" customFormat="1" x14ac:dyDescent="0.25">
      <c r="A18" s="22"/>
      <c r="B18" s="23">
        <f>Assumptions!B11+Discount_rate</f>
        <v>3.4999999999999996E-2</v>
      </c>
      <c r="C18" s="22" t="str">
        <f>"Discount rate " &amp;Assumptions!B11</f>
        <v>Discount rate -0.025</v>
      </c>
      <c r="D18" s="2">
        <v>92218.54</v>
      </c>
      <c r="E18" s="2">
        <v>51110.85</v>
      </c>
      <c r="F18" s="2">
        <v>38010.75</v>
      </c>
      <c r="G18" s="2">
        <v>271521.89</v>
      </c>
      <c r="H18" s="2">
        <f t="shared" si="3"/>
        <v>113215.50750000001</v>
      </c>
      <c r="I18" s="2">
        <f t="shared" si="0"/>
        <v>88285.01999999999</v>
      </c>
      <c r="J18" s="2">
        <f t="shared" si="1"/>
        <v>98174.556000000011</v>
      </c>
      <c r="K18" s="2">
        <f t="shared" si="2"/>
        <v>144876.78400000001</v>
      </c>
      <c r="L18" s="29"/>
      <c r="M18" s="29"/>
      <c r="N18" s="29"/>
      <c r="O18" s="29"/>
      <c r="P18" s="29"/>
      <c r="T18" s="29"/>
      <c r="U18" s="29"/>
      <c r="V18" s="29"/>
    </row>
    <row r="19" spans="1:26" s="82" customFormat="1" x14ac:dyDescent="0.25">
      <c r="A19" s="21" t="s">
        <v>13</v>
      </c>
      <c r="B19" s="24">
        <f>Assumptions!B13*(Option_B2_Cost+$E$47)</f>
        <v>527800.48242095113</v>
      </c>
      <c r="C19" s="21" t="str">
        <f>"Cost x "&amp;Assumptions!B13</f>
        <v>Cost x 1.3</v>
      </c>
      <c r="D19" s="2">
        <v>-81212.66</v>
      </c>
      <c r="E19" s="2">
        <v>-119195.94</v>
      </c>
      <c r="F19" s="2">
        <v>-108613.86</v>
      </c>
      <c r="G19" s="2">
        <v>-13225.53</v>
      </c>
      <c r="H19" s="2">
        <f t="shared" si="3"/>
        <v>-80561.997500000012</v>
      </c>
      <c r="I19" s="2">
        <f t="shared" si="0"/>
        <v>-92347.379000000001</v>
      </c>
      <c r="J19" s="2">
        <f t="shared" si="1"/>
        <v>-86172.37</v>
      </c>
      <c r="K19" s="2">
        <f t="shared" si="2"/>
        <v>-67094.703999999998</v>
      </c>
      <c r="L19" s="29"/>
      <c r="M19" s="29"/>
      <c r="N19" s="29"/>
      <c r="O19" s="29"/>
      <c r="P19" s="29"/>
      <c r="T19" s="29"/>
      <c r="U19" s="29"/>
      <c r="V19" s="29"/>
    </row>
    <row r="20" spans="1:26" s="82" customFormat="1" x14ac:dyDescent="0.25">
      <c r="A20" s="21"/>
      <c r="B20" s="24">
        <f>Assumptions!B14*(Option_B2_Cost+$E$47)</f>
        <v>284200.2597651275</v>
      </c>
      <c r="C20" s="21" t="str">
        <f>"Cost x "&amp;Assumptions!B14</f>
        <v>Cost x 0.7</v>
      </c>
      <c r="D20" s="2">
        <v>107389.39</v>
      </c>
      <c r="E20" s="2">
        <v>69406.11</v>
      </c>
      <c r="F20" s="2">
        <v>79988.19</v>
      </c>
      <c r="G20" s="2">
        <v>175376.52</v>
      </c>
      <c r="H20" s="2">
        <f t="shared" si="3"/>
        <v>108040.05249999999</v>
      </c>
      <c r="I20" s="2">
        <f t="shared" si="0"/>
        <v>96254.671000000017</v>
      </c>
      <c r="J20" s="2">
        <f t="shared" si="1"/>
        <v>102429.68</v>
      </c>
      <c r="K20" s="2">
        <f t="shared" si="2"/>
        <v>121507.34599999999</v>
      </c>
      <c r="L20" s="29"/>
      <c r="M20" s="29"/>
      <c r="N20" s="29"/>
      <c r="O20" s="29"/>
      <c r="P20" s="29"/>
      <c r="T20" s="29"/>
      <c r="U20" s="29"/>
      <c r="V20" s="29"/>
    </row>
    <row r="21" spans="1:26" s="82" customFormat="1" x14ac:dyDescent="0.25">
      <c r="A21" s="55" t="s">
        <v>33</v>
      </c>
      <c r="B21" s="56">
        <f>Network_payment_duration_years+Assumptions!B16</f>
        <v>25</v>
      </c>
      <c r="C21" s="55" t="str">
        <f>"Payback "&amp;Assumptions!B16&amp;" years"</f>
        <v>Payback -5 years</v>
      </c>
      <c r="D21" s="2">
        <v>12393.44</v>
      </c>
      <c r="E21" s="2">
        <v>-25589.84</v>
      </c>
      <c r="F21" s="2">
        <v>-15007.76</v>
      </c>
      <c r="G21" s="2">
        <v>80380.570000000007</v>
      </c>
      <c r="H21" s="2">
        <f t="shared" si="3"/>
        <v>13044.102500000001</v>
      </c>
      <c r="I21" s="2">
        <f t="shared" si="0"/>
        <v>1258.7209999999995</v>
      </c>
      <c r="J21" s="2">
        <f t="shared" si="1"/>
        <v>7433.73</v>
      </c>
      <c r="K21" s="2">
        <f t="shared" si="2"/>
        <v>26511.396000000001</v>
      </c>
      <c r="L21" s="29"/>
      <c r="M21" s="29"/>
      <c r="N21" s="29"/>
      <c r="O21" s="29"/>
      <c r="P21" s="29"/>
      <c r="T21" s="29"/>
      <c r="U21" s="29"/>
      <c r="V21" s="29"/>
    </row>
    <row r="22" spans="1:26" s="82" customFormat="1" x14ac:dyDescent="0.25">
      <c r="A22" s="55"/>
      <c r="B22" s="56">
        <f>Network_payment_duration_years+Assumptions!B17</f>
        <v>35</v>
      </c>
      <c r="C22" s="55" t="str">
        <f>"Payback +"&amp;Assumptions!B17&amp;" years"</f>
        <v>Payback +5 years</v>
      </c>
      <c r="D22" s="2">
        <v>13546.23</v>
      </c>
      <c r="E22" s="2">
        <v>-24437.05</v>
      </c>
      <c r="F22" s="2">
        <v>-13854.97</v>
      </c>
      <c r="G22" s="2">
        <v>81533.36</v>
      </c>
      <c r="H22" s="2">
        <f t="shared" si="3"/>
        <v>14196.8925</v>
      </c>
      <c r="I22" s="2">
        <f t="shared" si="0"/>
        <v>2411.5110000000004</v>
      </c>
      <c r="J22" s="2">
        <f t="shared" si="1"/>
        <v>8586.52</v>
      </c>
      <c r="K22" s="2">
        <f t="shared" si="2"/>
        <v>27664.186000000002</v>
      </c>
      <c r="L22" s="29"/>
      <c r="M22" s="29"/>
      <c r="N22" s="29"/>
      <c r="O22" s="29"/>
      <c r="P22" s="29"/>
      <c r="T22" s="29"/>
      <c r="U22" s="29"/>
      <c r="V22" s="29"/>
    </row>
    <row r="23" spans="1:26" s="65" customFormat="1" x14ac:dyDescent="0.25">
      <c r="A23" s="91"/>
      <c r="B23" s="12"/>
      <c r="C23" s="4"/>
      <c r="E23" s="4"/>
    </row>
    <row r="24" spans="1:26" s="82" customFormat="1" x14ac:dyDescent="0.25">
      <c r="A24" s="4"/>
      <c r="C24" s="13" t="s">
        <v>4</v>
      </c>
      <c r="D24" s="13" t="s">
        <v>5</v>
      </c>
      <c r="E24" s="13" t="s">
        <v>6</v>
      </c>
      <c r="H24" s="4"/>
      <c r="J24" s="13" t="s">
        <v>4</v>
      </c>
      <c r="K24" s="13" t="s">
        <v>5</v>
      </c>
      <c r="L24" s="13" t="s">
        <v>6</v>
      </c>
      <c r="O24" s="4"/>
      <c r="Q24" s="13" t="s">
        <v>4</v>
      </c>
      <c r="R24" s="13" t="s">
        <v>5</v>
      </c>
      <c r="S24" s="13" t="s">
        <v>6</v>
      </c>
      <c r="V24" s="4"/>
      <c r="X24" s="13" t="s">
        <v>4</v>
      </c>
      <c r="Y24" s="13" t="s">
        <v>5</v>
      </c>
      <c r="Z24" s="13" t="s">
        <v>6</v>
      </c>
    </row>
    <row r="25" spans="1:26" s="82" customFormat="1" x14ac:dyDescent="0.25">
      <c r="A25" s="25"/>
      <c r="B25" s="53" t="s">
        <v>7</v>
      </c>
      <c r="C25" s="2">
        <f>NPV($B$2,C31:C44)+C72</f>
        <v>327425.12309561565</v>
      </c>
      <c r="D25" s="2">
        <f>NPV($B$2,D31:D44)+NPV($B$2,E31:E44)</f>
        <v>314336.7555788777</v>
      </c>
      <c r="E25" s="2">
        <f>C25-D25</f>
        <v>13088.367516737955</v>
      </c>
      <c r="F25" s="81"/>
      <c r="H25" s="25"/>
      <c r="I25" s="53" t="s">
        <v>7</v>
      </c>
      <c r="J25" s="2">
        <f>NPV($B$2,J31:J44)+J72</f>
        <v>289441.83782199945</v>
      </c>
      <c r="K25" s="2">
        <f>NPV($B$2,K31:K44)+NPV($B$2,L31:L44)</f>
        <v>314336.7555788777</v>
      </c>
      <c r="L25" s="2">
        <f>J25-K25</f>
        <v>-24894.917756878247</v>
      </c>
      <c r="O25" s="25"/>
      <c r="P25" s="53" t="s">
        <v>7</v>
      </c>
      <c r="Q25" s="2">
        <f>NPV($B$2,Q31:Q44)+Q72</f>
        <v>300023.92067140719</v>
      </c>
      <c r="R25" s="2">
        <f>NPV($B$2,R31:R44)+NPV($B$2,S31:S44)</f>
        <v>314336.7555788777</v>
      </c>
      <c r="S25" s="2">
        <f>Q25-R25</f>
        <v>-14312.834907470504</v>
      </c>
      <c r="V25" s="25"/>
      <c r="W25" s="53" t="s">
        <v>7</v>
      </c>
      <c r="X25" s="2">
        <f>NPV($B$2,X31:X44)+X72</f>
        <v>395412.25354058854</v>
      </c>
      <c r="Y25" s="2">
        <f>NPV($B$2,Y31:Y44)+NPV($B$2,Z31:Z44)</f>
        <v>314336.7555788777</v>
      </c>
      <c r="Z25" s="2">
        <f>X25-Y25</f>
        <v>81075.497961710847</v>
      </c>
    </row>
    <row r="26" spans="1:26" s="37" customFormat="1" ht="15.75" thickBot="1" x14ac:dyDescent="0.3">
      <c r="A26" s="36"/>
      <c r="C26" s="36"/>
      <c r="D26" s="36"/>
      <c r="E26" s="36"/>
      <c r="H26" s="36"/>
      <c r="J26" s="36"/>
      <c r="K26" s="36"/>
      <c r="L26" s="36"/>
      <c r="O26" s="36"/>
      <c r="Q26" s="36"/>
      <c r="R26" s="36"/>
      <c r="S26" s="36"/>
      <c r="V26" s="36"/>
      <c r="X26" s="36"/>
      <c r="Y26" s="36"/>
      <c r="Z26" s="36"/>
    </row>
    <row r="27" spans="1:26" s="65" customFormat="1" x14ac:dyDescent="0.25">
      <c r="A27" s="4"/>
      <c r="C27" s="4"/>
      <c r="D27" s="4"/>
      <c r="E27" s="4"/>
      <c r="H27" s="4"/>
      <c r="J27" s="4"/>
      <c r="K27" s="4"/>
      <c r="L27" s="4"/>
      <c r="O27" s="4"/>
      <c r="Q27" s="4"/>
      <c r="R27" s="4"/>
      <c r="S27" s="4"/>
      <c r="V27" s="4"/>
      <c r="X27" s="4"/>
      <c r="Y27" s="4"/>
      <c r="Z27" s="4"/>
    </row>
    <row r="28" spans="1:26" s="65" customFormat="1" x14ac:dyDescent="0.25">
      <c r="A28" s="74" t="s">
        <v>85</v>
      </c>
      <c r="C28" s="4"/>
      <c r="D28" s="4"/>
      <c r="E28" s="4"/>
      <c r="H28" s="4"/>
      <c r="J28" s="4"/>
      <c r="K28" s="4"/>
      <c r="L28" s="4"/>
      <c r="O28" s="4"/>
      <c r="Q28" s="4"/>
      <c r="R28" s="4"/>
      <c r="S28" s="4"/>
      <c r="V28" s="4"/>
      <c r="X28" s="4"/>
      <c r="Y28" s="4"/>
      <c r="Z28" s="4"/>
    </row>
    <row r="29" spans="1:26" s="61" customFormat="1" x14ac:dyDescent="0.25">
      <c r="A29" s="46" t="s">
        <v>9</v>
      </c>
      <c r="B29" s="27"/>
      <c r="C29" s="27"/>
      <c r="D29" s="27"/>
      <c r="E29" s="28"/>
      <c r="H29" s="46" t="s">
        <v>89</v>
      </c>
      <c r="I29" s="27"/>
      <c r="J29" s="27"/>
      <c r="K29" s="27"/>
      <c r="L29" s="28"/>
      <c r="O29" s="26" t="s">
        <v>20</v>
      </c>
      <c r="P29" s="27"/>
      <c r="Q29" s="27"/>
      <c r="R29" s="27"/>
      <c r="S29" s="28"/>
      <c r="V29" s="46" t="s">
        <v>21</v>
      </c>
      <c r="W29" s="27"/>
      <c r="X29" s="27"/>
      <c r="Y29" s="27"/>
      <c r="Z29" s="28"/>
    </row>
    <row r="30" spans="1:26" s="82" customFormat="1" x14ac:dyDescent="0.25">
      <c r="A30" s="13" t="s">
        <v>0</v>
      </c>
      <c r="B30" s="13" t="s">
        <v>1</v>
      </c>
      <c r="C30" s="13" t="s">
        <v>84</v>
      </c>
      <c r="D30" s="13" t="s">
        <v>5</v>
      </c>
      <c r="E30" s="53" t="s">
        <v>74</v>
      </c>
      <c r="F30" s="83"/>
      <c r="H30" s="13" t="s">
        <v>0</v>
      </c>
      <c r="I30" s="13" t="s">
        <v>1</v>
      </c>
      <c r="J30" s="13" t="s">
        <v>84</v>
      </c>
      <c r="K30" s="13" t="s">
        <v>5</v>
      </c>
      <c r="L30" s="53" t="s">
        <v>74</v>
      </c>
      <c r="M30" s="83"/>
      <c r="N30" s="83"/>
      <c r="O30" s="13" t="s">
        <v>0</v>
      </c>
      <c r="P30" s="13" t="s">
        <v>1</v>
      </c>
      <c r="Q30" s="13" t="s">
        <v>84</v>
      </c>
      <c r="R30" s="13" t="s">
        <v>5</v>
      </c>
      <c r="S30" s="53" t="s">
        <v>74</v>
      </c>
      <c r="V30" s="13" t="s">
        <v>0</v>
      </c>
      <c r="W30" s="13" t="s">
        <v>1</v>
      </c>
      <c r="X30" s="13" t="s">
        <v>84</v>
      </c>
      <c r="Y30" s="13" t="s">
        <v>5</v>
      </c>
      <c r="Z30" s="53" t="s">
        <v>74</v>
      </c>
    </row>
    <row r="31" spans="1:26" s="61" customFormat="1" x14ac:dyDescent="0.25">
      <c r="A31" s="95" t="s">
        <v>10</v>
      </c>
      <c r="B31" s="53">
        <v>2020</v>
      </c>
      <c r="C31" s="2">
        <f>IF(B31&gt;=Option_B2_Year,SUM(B92:F92),SUM(B110:F110))</f>
        <v>2979.8963841714285</v>
      </c>
      <c r="D31" s="2">
        <f t="shared" ref="D31:D43" si="4">IF(AND(B31&gt;=Option_B2_Year,B31&lt;=(Option_B2_Year+($B$4-1))),-PMT($B$2,$B$4,$B$3,,0),0)</f>
        <v>0</v>
      </c>
      <c r="E31" s="2">
        <f>D31*Assumptions!$D$29</f>
        <v>0</v>
      </c>
      <c r="F31" s="66"/>
      <c r="H31" s="95" t="s">
        <v>10</v>
      </c>
      <c r="I31" s="53">
        <v>2020</v>
      </c>
      <c r="J31" s="2">
        <f>IF(I31&gt;=Option_B2_Year,SUM(I92:M92),SUM(I110:M110))</f>
        <v>2887.5407317857098</v>
      </c>
      <c r="K31" s="2">
        <f>IF(AND(I31&gt;=Option_B2_Year,I31&lt;=(Option_B2_Year+($B$4-1))),-PMT($B$2,$B$4,$B$3,,0),0)</f>
        <v>0</v>
      </c>
      <c r="L31" s="2">
        <f>K31*Assumptions!$D$29</f>
        <v>0</v>
      </c>
      <c r="M31" s="63"/>
      <c r="N31" s="63"/>
      <c r="O31" s="95" t="s">
        <v>10</v>
      </c>
      <c r="P31" s="53">
        <v>2020</v>
      </c>
      <c r="Q31" s="2">
        <f t="shared" ref="Q31:Q43" si="5">IF(P31&gt;=Option_B2_Year,SUM(P92:T92),SUM(P110:T110))</f>
        <v>174.23403594400588</v>
      </c>
      <c r="R31" s="2">
        <f>IF(AND(P31&gt;=Option_B2_Year,P31&lt;=(Option_B2_Year+($B$4-1))),-PMT($B$2,$B$4,$B$3,,0),0)</f>
        <v>0</v>
      </c>
      <c r="S31" s="2">
        <f>R31*Assumptions!$D$29</f>
        <v>0</v>
      </c>
      <c r="V31" s="95" t="s">
        <v>10</v>
      </c>
      <c r="W31" s="53">
        <v>2020</v>
      </c>
      <c r="X31" s="2">
        <f>IF(W31&gt;=Option_B2_Year,SUM(W92:AA92),SUM(W110:AA110))</f>
        <v>0</v>
      </c>
      <c r="Y31" s="2">
        <f>IF(AND(W31&gt;=Option_B2_Year,W31&lt;=(Option_B2_Year+($B$4-1))),-PMT($B$2,$B$4,$B$3,,0),0)</f>
        <v>0</v>
      </c>
      <c r="Z31" s="2">
        <f>Y31*Assumptions!$D$29</f>
        <v>0</v>
      </c>
    </row>
    <row r="32" spans="1:26" s="61" customFormat="1" x14ac:dyDescent="0.25">
      <c r="A32" s="96"/>
      <c r="B32" s="53">
        <v>2021</v>
      </c>
      <c r="C32" s="2">
        <f t="shared" ref="C32:C43" si="6">IF(B32&gt;=Option_B2_Year,SUM(B93:F93),SUM(B111:F111))</f>
        <v>-7385.4104361963036</v>
      </c>
      <c r="D32" s="2">
        <f t="shared" si="4"/>
        <v>0</v>
      </c>
      <c r="E32" s="2">
        <f>D32*Assumptions!$D$29</f>
        <v>0</v>
      </c>
      <c r="F32" s="48"/>
      <c r="H32" s="96"/>
      <c r="I32" s="53">
        <v>2021</v>
      </c>
      <c r="J32" s="2">
        <f t="shared" ref="J32:J43" si="7">IF(I32&gt;=Option_B2_Year,SUM(I93:M93),SUM(I111:M111))</f>
        <v>-7272.2234018583331</v>
      </c>
      <c r="K32" s="2">
        <f t="shared" ref="K32:K43" si="8">IF(AND(I32&gt;=Option_B2_Year,I32&lt;=(Option_B2_Year+($B$4-1))),-PMT($B$2,$B$4,$B$3,,0),0)</f>
        <v>0</v>
      </c>
      <c r="L32" s="2">
        <f>K32*Assumptions!$D$29</f>
        <v>0</v>
      </c>
      <c r="O32" s="96"/>
      <c r="P32" s="53">
        <v>2021</v>
      </c>
      <c r="Q32" s="2">
        <f t="shared" si="5"/>
        <v>-7203.3304420248605</v>
      </c>
      <c r="R32" s="2">
        <f t="shared" ref="R32:R43" si="9">IF(AND(P32&gt;=Option_B2_Year,P32&lt;=(Option_B2_Year+($B$4-1))),-PMT($B$2,$B$4,$B$3,,0),0)</f>
        <v>0</v>
      </c>
      <c r="S32" s="2">
        <f>R32*Assumptions!$D$29</f>
        <v>0</v>
      </c>
      <c r="V32" s="96"/>
      <c r="W32" s="53">
        <v>2021</v>
      </c>
      <c r="X32" s="2">
        <f t="shared" ref="X32:X43" si="10">IF(W32&gt;=Option_B2_Year,SUM(W93:AA93),SUM(W111:AA111))</f>
        <v>-10753.284428262647</v>
      </c>
      <c r="Y32" s="2">
        <f t="shared" ref="Y32:Y43" si="11">IF(AND(W32&gt;=Option_B2_Year,W32&lt;=(Option_B2_Year+($B$4-1))),-PMT($B$2,$B$4,$B$3,,0),0)</f>
        <v>0</v>
      </c>
      <c r="Z32" s="2">
        <f>Y32*Assumptions!$D$29</f>
        <v>0</v>
      </c>
    </row>
    <row r="33" spans="1:26" s="61" customFormat="1" x14ac:dyDescent="0.25">
      <c r="A33" s="96"/>
      <c r="B33" s="53">
        <v>2022</v>
      </c>
      <c r="C33" s="2">
        <f t="shared" si="6"/>
        <v>-15478.921648694544</v>
      </c>
      <c r="D33" s="2">
        <f t="shared" si="4"/>
        <v>0</v>
      </c>
      <c r="E33" s="2">
        <f>D33*Assumptions!$D$29</f>
        <v>0</v>
      </c>
      <c r="F33" s="48"/>
      <c r="H33" s="96"/>
      <c r="I33" s="53">
        <v>2022</v>
      </c>
      <c r="J33" s="2">
        <f t="shared" si="7"/>
        <v>-15324.569634523643</v>
      </c>
      <c r="K33" s="2">
        <f t="shared" si="8"/>
        <v>0</v>
      </c>
      <c r="L33" s="2">
        <f>K33*Assumptions!$D$29</f>
        <v>0</v>
      </c>
      <c r="O33" s="96"/>
      <c r="P33" s="53">
        <v>2022</v>
      </c>
      <c r="Q33" s="2">
        <f t="shared" si="5"/>
        <v>-10922.327399780566</v>
      </c>
      <c r="R33" s="2">
        <f t="shared" si="9"/>
        <v>0</v>
      </c>
      <c r="S33" s="2">
        <f>R33*Assumptions!$D$29</f>
        <v>0</v>
      </c>
      <c r="V33" s="96"/>
      <c r="W33" s="53">
        <v>2022</v>
      </c>
      <c r="X33" s="2">
        <f t="shared" si="10"/>
        <v>-34870.924877442827</v>
      </c>
      <c r="Y33" s="2">
        <f t="shared" si="11"/>
        <v>0</v>
      </c>
      <c r="Z33" s="2">
        <f>Y33*Assumptions!$D$29</f>
        <v>0</v>
      </c>
    </row>
    <row r="34" spans="1:26" s="61" customFormat="1" x14ac:dyDescent="0.25">
      <c r="A34" s="96"/>
      <c r="B34" s="53">
        <v>2023</v>
      </c>
      <c r="C34" s="2">
        <f t="shared" si="6"/>
        <v>-53299.120466974258</v>
      </c>
      <c r="D34" s="2">
        <f t="shared" si="4"/>
        <v>0</v>
      </c>
      <c r="E34" s="2">
        <f>D34*Assumptions!$D$29</f>
        <v>0</v>
      </c>
      <c r="F34" s="64"/>
      <c r="H34" s="96"/>
      <c r="I34" s="53">
        <v>2023</v>
      </c>
      <c r="J34" s="2">
        <f t="shared" si="7"/>
        <v>-50903.479973725451</v>
      </c>
      <c r="K34" s="2">
        <f t="shared" si="8"/>
        <v>0</v>
      </c>
      <c r="L34" s="2">
        <f>K34*Assumptions!$D$29</f>
        <v>0</v>
      </c>
      <c r="O34" s="96"/>
      <c r="P34" s="53">
        <v>2023</v>
      </c>
      <c r="Q34" s="2">
        <f t="shared" si="5"/>
        <v>-9744.2634224900539</v>
      </c>
      <c r="R34" s="2">
        <f t="shared" si="9"/>
        <v>0</v>
      </c>
      <c r="S34" s="2">
        <f>R34*Assumptions!$D$29</f>
        <v>0</v>
      </c>
      <c r="V34" s="96"/>
      <c r="W34" s="53">
        <v>2023</v>
      </c>
      <c r="X34" s="2">
        <f t="shared" si="10"/>
        <v>-131032.21362490779</v>
      </c>
      <c r="Y34" s="2">
        <f t="shared" si="11"/>
        <v>0</v>
      </c>
      <c r="Z34" s="2">
        <f>Y34*Assumptions!$D$29</f>
        <v>0</v>
      </c>
    </row>
    <row r="35" spans="1:26" s="61" customFormat="1" x14ac:dyDescent="0.25">
      <c r="A35" s="96"/>
      <c r="B35" s="53">
        <v>2024</v>
      </c>
      <c r="C35" s="2">
        <f t="shared" si="6"/>
        <v>7085.8005452643356</v>
      </c>
      <c r="D35" s="2">
        <f t="shared" si="4"/>
        <v>29495.484945056422</v>
      </c>
      <c r="E35" s="2">
        <f>D35*Assumptions!$D$29</f>
        <v>184.57461331709285</v>
      </c>
      <c r="H35" s="96"/>
      <c r="I35" s="53">
        <v>2024</v>
      </c>
      <c r="J35" s="2">
        <f t="shared" si="7"/>
        <v>9381.3668042464578</v>
      </c>
      <c r="K35" s="2">
        <f t="shared" si="8"/>
        <v>29495.484945056422</v>
      </c>
      <c r="L35" s="2">
        <f>K35*Assumptions!$D$29</f>
        <v>184.57461331709285</v>
      </c>
      <c r="O35" s="96"/>
      <c r="P35" s="53">
        <v>2024</v>
      </c>
      <c r="Q35" s="2">
        <f t="shared" si="5"/>
        <v>17058.220884573158</v>
      </c>
      <c r="R35" s="2">
        <f t="shared" si="9"/>
        <v>29495.484945056422</v>
      </c>
      <c r="S35" s="2">
        <f>R35*Assumptions!$D$29</f>
        <v>184.57461331709285</v>
      </c>
      <c r="V35" s="96"/>
      <c r="W35" s="53">
        <v>2024</v>
      </c>
      <c r="X35" s="2">
        <f t="shared" si="10"/>
        <v>-16723.286301268068</v>
      </c>
      <c r="Y35" s="2">
        <f t="shared" si="11"/>
        <v>29495.484945056422</v>
      </c>
      <c r="Z35" s="2">
        <f>Y35*Assumptions!$D$29</f>
        <v>184.57461331709285</v>
      </c>
    </row>
    <row r="36" spans="1:26" s="61" customFormat="1" x14ac:dyDescent="0.25">
      <c r="A36" s="96"/>
      <c r="B36" s="53">
        <v>2025</v>
      </c>
      <c r="C36" s="2">
        <f t="shared" si="6"/>
        <v>-18238.329836927467</v>
      </c>
      <c r="D36" s="2">
        <f t="shared" si="4"/>
        <v>29495.484945056422</v>
      </c>
      <c r="E36" s="2">
        <f>D36*Assumptions!$D$29</f>
        <v>184.57461331709285</v>
      </c>
      <c r="H36" s="96"/>
      <c r="I36" s="53">
        <v>2025</v>
      </c>
      <c r="J36" s="2">
        <f t="shared" si="7"/>
        <v>10248.409461062978</v>
      </c>
      <c r="K36" s="2">
        <f t="shared" si="8"/>
        <v>29495.484945056422</v>
      </c>
      <c r="L36" s="2">
        <f>K36*Assumptions!$D$29</f>
        <v>184.57461331709285</v>
      </c>
      <c r="O36" s="96"/>
      <c r="P36" s="53">
        <v>2025</v>
      </c>
      <c r="Q36" s="2">
        <f t="shared" si="5"/>
        <v>5975.1873483857598</v>
      </c>
      <c r="R36" s="2">
        <f t="shared" si="9"/>
        <v>29495.484945056422</v>
      </c>
      <c r="S36" s="2">
        <f>R36*Assumptions!$D$29</f>
        <v>184.57461331709285</v>
      </c>
      <c r="V36" s="96"/>
      <c r="W36" s="53">
        <v>2025</v>
      </c>
      <c r="X36" s="2">
        <f t="shared" si="10"/>
        <v>-23115.287995560713</v>
      </c>
      <c r="Y36" s="2">
        <f t="shared" si="11"/>
        <v>29495.484945056422</v>
      </c>
      <c r="Z36" s="2">
        <f>Y36*Assumptions!$D$29</f>
        <v>184.57461331709285</v>
      </c>
    </row>
    <row r="37" spans="1:26" s="61" customFormat="1" x14ac:dyDescent="0.25">
      <c r="A37" s="96"/>
      <c r="B37" s="53">
        <v>2026</v>
      </c>
      <c r="C37" s="2">
        <f t="shared" si="6"/>
        <v>-9982.6444967346251</v>
      </c>
      <c r="D37" s="2">
        <f t="shared" si="4"/>
        <v>29495.484945056422</v>
      </c>
      <c r="E37" s="2">
        <f>D37*Assumptions!$D$29</f>
        <v>184.57461331709285</v>
      </c>
      <c r="H37" s="96"/>
      <c r="I37" s="53">
        <v>2026</v>
      </c>
      <c r="J37" s="2">
        <f t="shared" si="7"/>
        <v>10060.997052512736</v>
      </c>
      <c r="K37" s="2">
        <f t="shared" si="8"/>
        <v>29495.484945056422</v>
      </c>
      <c r="L37" s="2">
        <f>K37*Assumptions!$D$29</f>
        <v>184.57461331709285</v>
      </c>
      <c r="O37" s="96"/>
      <c r="P37" s="53">
        <v>2026</v>
      </c>
      <c r="Q37" s="2">
        <f t="shared" si="5"/>
        <v>1465.5464559368411</v>
      </c>
      <c r="R37" s="2">
        <f t="shared" si="9"/>
        <v>29495.484945056422</v>
      </c>
      <c r="S37" s="2">
        <f>R37*Assumptions!$D$29</f>
        <v>184.57461331709285</v>
      </c>
      <c r="V37" s="96"/>
      <c r="W37" s="53">
        <v>2026</v>
      </c>
      <c r="X37" s="2">
        <f t="shared" si="10"/>
        <v>-8375.5956311599293</v>
      </c>
      <c r="Y37" s="2">
        <f t="shared" si="11"/>
        <v>29495.484945056422</v>
      </c>
      <c r="Z37" s="2">
        <f>Y37*Assumptions!$D$29</f>
        <v>184.57461331709285</v>
      </c>
    </row>
    <row r="38" spans="1:26" s="61" customFormat="1" x14ac:dyDescent="0.25">
      <c r="A38" s="96"/>
      <c r="B38" s="53">
        <v>2027</v>
      </c>
      <c r="C38" s="2">
        <f t="shared" si="6"/>
        <v>-7009.2453915712467</v>
      </c>
      <c r="D38" s="2">
        <f t="shared" si="4"/>
        <v>29495.484945056422</v>
      </c>
      <c r="E38" s="2">
        <f>D38*Assumptions!$D$29</f>
        <v>184.57461331709285</v>
      </c>
      <c r="H38" s="96"/>
      <c r="I38" s="53">
        <v>2027</v>
      </c>
      <c r="J38" s="2">
        <f t="shared" si="7"/>
        <v>6424.288300765711</v>
      </c>
      <c r="K38" s="2">
        <f t="shared" si="8"/>
        <v>29495.484945056422</v>
      </c>
      <c r="L38" s="2">
        <f>K38*Assumptions!$D$29</f>
        <v>184.57461331709285</v>
      </c>
      <c r="O38" s="96"/>
      <c r="P38" s="53">
        <v>2027</v>
      </c>
      <c r="Q38" s="2">
        <f t="shared" si="5"/>
        <v>2097.9186817163827</v>
      </c>
      <c r="R38" s="2">
        <f t="shared" si="9"/>
        <v>29495.484945056422</v>
      </c>
      <c r="S38" s="2">
        <f>R38*Assumptions!$D$29</f>
        <v>184.57461331709285</v>
      </c>
      <c r="V38" s="96"/>
      <c r="W38" s="53">
        <v>2027</v>
      </c>
      <c r="X38" s="2">
        <f t="shared" si="10"/>
        <v>-7406.7775471275381</v>
      </c>
      <c r="Y38" s="2">
        <f t="shared" si="11"/>
        <v>29495.484945056422</v>
      </c>
      <c r="Z38" s="2">
        <f>Y38*Assumptions!$D$29</f>
        <v>184.57461331709285</v>
      </c>
    </row>
    <row r="39" spans="1:26" s="61" customFormat="1" x14ac:dyDescent="0.25">
      <c r="A39" s="96"/>
      <c r="B39" s="53">
        <v>2028</v>
      </c>
      <c r="C39" s="2">
        <f t="shared" si="6"/>
        <v>-9284.2122643274342</v>
      </c>
      <c r="D39" s="2">
        <f t="shared" si="4"/>
        <v>29495.484945056422</v>
      </c>
      <c r="E39" s="2">
        <f>D39*Assumptions!$D$29</f>
        <v>184.57461331709285</v>
      </c>
      <c r="H39" s="96"/>
      <c r="I39" s="53">
        <v>2028</v>
      </c>
      <c r="J39" s="2">
        <f t="shared" si="7"/>
        <v>6291.3470147631888</v>
      </c>
      <c r="K39" s="2">
        <f t="shared" si="8"/>
        <v>29495.484945056422</v>
      </c>
      <c r="L39" s="2">
        <f>K39*Assumptions!$D$29</f>
        <v>184.57461331709285</v>
      </c>
      <c r="O39" s="96"/>
      <c r="P39" s="53">
        <v>2028</v>
      </c>
      <c r="Q39" s="2">
        <f t="shared" si="5"/>
        <v>1813.6817948038024</v>
      </c>
      <c r="R39" s="2">
        <f t="shared" si="9"/>
        <v>29495.484945056422</v>
      </c>
      <c r="S39" s="2">
        <f>R39*Assumptions!$D$29</f>
        <v>184.57461331709285</v>
      </c>
      <c r="V39" s="96"/>
      <c r="W39" s="53">
        <v>2028</v>
      </c>
      <c r="X39" s="2">
        <f t="shared" si="10"/>
        <v>-4488.6632231424155</v>
      </c>
      <c r="Y39" s="2">
        <f t="shared" si="11"/>
        <v>29495.484945056422</v>
      </c>
      <c r="Z39" s="2">
        <f>Y39*Assumptions!$D$29</f>
        <v>184.57461331709285</v>
      </c>
    </row>
    <row r="40" spans="1:26" s="61" customFormat="1" x14ac:dyDescent="0.25">
      <c r="A40" s="96"/>
      <c r="B40" s="53">
        <v>2029</v>
      </c>
      <c r="C40" s="2">
        <f t="shared" si="6"/>
        <v>3149.493887698256</v>
      </c>
      <c r="D40" s="2">
        <f t="shared" si="4"/>
        <v>29495.484945056422</v>
      </c>
      <c r="E40" s="2">
        <f>D40*Assumptions!$D$29</f>
        <v>184.57461331709285</v>
      </c>
      <c r="H40" s="96"/>
      <c r="I40" s="53">
        <v>2029</v>
      </c>
      <c r="J40" s="2">
        <f t="shared" si="7"/>
        <v>8561.6414939541501</v>
      </c>
      <c r="K40" s="2">
        <f t="shared" si="8"/>
        <v>29495.484945056422</v>
      </c>
      <c r="L40" s="2">
        <f>K40*Assumptions!$D$29</f>
        <v>184.57461331709285</v>
      </c>
      <c r="O40" s="96"/>
      <c r="P40" s="53">
        <v>2029</v>
      </c>
      <c r="Q40" s="2">
        <f t="shared" si="5"/>
        <v>6471.7193235250561</v>
      </c>
      <c r="R40" s="2">
        <f t="shared" si="9"/>
        <v>29495.484945056422</v>
      </c>
      <c r="S40" s="2">
        <f>R40*Assumptions!$D$29</f>
        <v>184.57461331709285</v>
      </c>
      <c r="V40" s="96"/>
      <c r="W40" s="53">
        <v>2029</v>
      </c>
      <c r="X40" s="2">
        <f t="shared" si="10"/>
        <v>36668.274763275549</v>
      </c>
      <c r="Y40" s="2">
        <f t="shared" si="11"/>
        <v>29495.484945056422</v>
      </c>
      <c r="Z40" s="2">
        <f>Y40*Assumptions!$D$29</f>
        <v>184.57461331709285</v>
      </c>
    </row>
    <row r="41" spans="1:26" s="61" customFormat="1" x14ac:dyDescent="0.25">
      <c r="A41" s="96"/>
      <c r="B41" s="53">
        <v>2030</v>
      </c>
      <c r="C41" s="2">
        <f t="shared" si="6"/>
        <v>6752.9426689992033</v>
      </c>
      <c r="D41" s="2">
        <f t="shared" si="4"/>
        <v>29495.484945056422</v>
      </c>
      <c r="E41" s="2">
        <f>D41*Assumptions!$D$29</f>
        <v>184.57461331709285</v>
      </c>
      <c r="H41" s="96"/>
      <c r="I41" s="53">
        <v>2030</v>
      </c>
      <c r="J41" s="2">
        <f t="shared" si="7"/>
        <v>7960.3540277948996</v>
      </c>
      <c r="K41" s="2">
        <f t="shared" si="8"/>
        <v>29495.484945056422</v>
      </c>
      <c r="L41" s="2">
        <f>K41*Assumptions!$D$29</f>
        <v>184.57461331709285</v>
      </c>
      <c r="O41" s="96"/>
      <c r="P41" s="53">
        <v>2030</v>
      </c>
      <c r="Q41" s="2">
        <f t="shared" si="5"/>
        <v>6262.688781161829</v>
      </c>
      <c r="R41" s="2">
        <f t="shared" si="9"/>
        <v>29495.484945056422</v>
      </c>
      <c r="S41" s="2">
        <f>R41*Assumptions!$D$29</f>
        <v>184.57461331709285</v>
      </c>
      <c r="V41" s="96"/>
      <c r="W41" s="53">
        <v>2030</v>
      </c>
      <c r="X41" s="2">
        <f t="shared" si="10"/>
        <v>32611.850948966632</v>
      </c>
      <c r="Y41" s="2">
        <f t="shared" si="11"/>
        <v>29495.484945056422</v>
      </c>
      <c r="Z41" s="2">
        <f>Y41*Assumptions!$D$29</f>
        <v>184.57461331709285</v>
      </c>
    </row>
    <row r="42" spans="1:26" s="61" customFormat="1" x14ac:dyDescent="0.25">
      <c r="A42" s="96"/>
      <c r="B42" s="53">
        <v>2031</v>
      </c>
      <c r="C42" s="2">
        <f t="shared" si="6"/>
        <v>8677.9063057239327</v>
      </c>
      <c r="D42" s="2">
        <f t="shared" si="4"/>
        <v>29495.484945056422</v>
      </c>
      <c r="E42" s="2">
        <f>D42*Assumptions!$D$29</f>
        <v>184.57461331709285</v>
      </c>
      <c r="H42" s="96"/>
      <c r="I42" s="53">
        <v>2031</v>
      </c>
      <c r="J42" s="2">
        <f t="shared" si="7"/>
        <v>10908.94873898552</v>
      </c>
      <c r="K42" s="2">
        <f t="shared" si="8"/>
        <v>29495.484945056422</v>
      </c>
      <c r="L42" s="2">
        <f>K42*Assumptions!$D$29</f>
        <v>184.57461331709285</v>
      </c>
      <c r="O42" s="96"/>
      <c r="P42" s="53">
        <v>2031</v>
      </c>
      <c r="Q42" s="2">
        <f t="shared" si="5"/>
        <v>4117.4710621202648</v>
      </c>
      <c r="R42" s="2">
        <f t="shared" si="9"/>
        <v>29495.484945056422</v>
      </c>
      <c r="S42" s="2">
        <f>R42*Assumptions!$D$29</f>
        <v>184.57461331709285</v>
      </c>
      <c r="V42" s="96"/>
      <c r="W42" s="53">
        <v>2031</v>
      </c>
      <c r="X42" s="2">
        <f t="shared" si="10"/>
        <v>8818.9790141858975</v>
      </c>
      <c r="Y42" s="2">
        <f t="shared" si="11"/>
        <v>29495.484945056422</v>
      </c>
      <c r="Z42" s="2">
        <f>Y42*Assumptions!$D$29</f>
        <v>184.57461331709285</v>
      </c>
    </row>
    <row r="43" spans="1:26" s="61" customFormat="1" x14ac:dyDescent="0.25">
      <c r="A43" s="96"/>
      <c r="B43" s="53">
        <v>2032</v>
      </c>
      <c r="C43" s="2">
        <f t="shared" si="6"/>
        <v>9745.3838699079206</v>
      </c>
      <c r="D43" s="2">
        <f t="shared" si="4"/>
        <v>29495.484945056422</v>
      </c>
      <c r="E43" s="2">
        <f>D43*Assumptions!$D$29</f>
        <v>184.57461331709285</v>
      </c>
      <c r="H43" s="96"/>
      <c r="I43" s="53">
        <v>2032</v>
      </c>
      <c r="J43" s="2">
        <f t="shared" si="7"/>
        <v>8657.0704261340215</v>
      </c>
      <c r="K43" s="2">
        <f t="shared" si="8"/>
        <v>29495.484945056422</v>
      </c>
      <c r="L43" s="2">
        <f>K43*Assumptions!$D$29</f>
        <v>184.57461331709285</v>
      </c>
      <c r="O43" s="96"/>
      <c r="P43" s="53">
        <v>2032</v>
      </c>
      <c r="Q43" s="2">
        <f t="shared" si="5"/>
        <v>4843.5745335112988</v>
      </c>
      <c r="R43" s="2">
        <f t="shared" si="9"/>
        <v>29495.484945056422</v>
      </c>
      <c r="S43" s="2">
        <f>R43*Assumptions!$D$29</f>
        <v>184.57461331709285</v>
      </c>
      <c r="V43" s="96"/>
      <c r="W43" s="53">
        <v>2032</v>
      </c>
      <c r="X43" s="2">
        <f t="shared" si="10"/>
        <v>32078.167988266447</v>
      </c>
      <c r="Y43" s="2">
        <f t="shared" si="11"/>
        <v>29495.484945056422</v>
      </c>
      <c r="Z43" s="2">
        <f>Y43*Assumptions!$D$29</f>
        <v>184.57461331709285</v>
      </c>
    </row>
    <row r="44" spans="1:26" s="61" customFormat="1" x14ac:dyDescent="0.25">
      <c r="A44" s="97"/>
      <c r="B44" s="53" t="s">
        <v>44</v>
      </c>
      <c r="C44" s="2">
        <f>-PV($B$2,(Network_option_lifespan-(B43-Option_B2_Year)),AVERAGE(C41:C43),,0)</f>
        <v>127765.5491713821</v>
      </c>
      <c r="D44" s="2">
        <f>-PV($B$2,($B$4-COUNTIF(D31:D43,"&gt;"&amp;0)),$D$43,,0)</f>
        <v>346987.14487568999</v>
      </c>
      <c r="E44" s="2">
        <f>-PV($B$2,($B$4-COUNTIF(E31:E43,"&gt;"&amp;0)),$E$43,,0)</f>
        <v>2171.3498934068821</v>
      </c>
      <c r="H44" s="97"/>
      <c r="I44" s="53" t="s">
        <v>44</v>
      </c>
      <c r="J44" s="2">
        <f>-PV($B$2,(Network_option_lifespan-(I43-Option_B2_Year)),AVERAGE(J41:J43),,0)</f>
        <v>139692.15368291782</v>
      </c>
      <c r="K44" s="2">
        <f>-PV($B$2,($B$4-COUNTIF(K31:K43,"&gt;"&amp;0)),$D$43,,0)</f>
        <v>346987.14487568999</v>
      </c>
      <c r="L44" s="2">
        <f>-PV($B$2,($B$4-COUNTIF(L31:L43,"&gt;"&amp;0)),$E$43,,0)</f>
        <v>2171.3498934068821</v>
      </c>
      <c r="O44" s="97"/>
      <c r="P44" s="53" t="s">
        <v>44</v>
      </c>
      <c r="Q44" s="2">
        <f>-PV($B$2,(Network_option_lifespan-(P43-Option_B2_Year)),AVERAGE(Q41:Q43),,0)</f>
        <v>77258.134491119898</v>
      </c>
      <c r="R44" s="2">
        <f>-PV($B$2,($B$4-COUNTIF(R31:R43,"&gt;"&amp;0)),$D$43,,0)</f>
        <v>346987.14487568999</v>
      </c>
      <c r="S44" s="2">
        <f>-PV($B$2,($B$4-COUNTIF(S31:S43,"&gt;"&amp;0)),$E$43,,0)</f>
        <v>2171.3498934068821</v>
      </c>
      <c r="V44" s="97"/>
      <c r="W44" s="53" t="s">
        <v>44</v>
      </c>
      <c r="X44" s="2">
        <f>-PV($B$2,(Network_option_lifespan-(W43-Option_B2_Year)),AVERAGE(X41:X43),,0)</f>
        <v>373046.97451207106</v>
      </c>
      <c r="Y44" s="2">
        <f>-PV($B$2,($B$4-COUNTIF(Y31:Y43,"&gt;"&amp;0)),$D$43,,0)</f>
        <v>346987.14487568999</v>
      </c>
      <c r="Z44" s="2">
        <f>-PV($B$2,($B$4-COUNTIF(Z31:Z43,"&gt;"&amp;0)),$E$43,,0)</f>
        <v>2171.3498934068821</v>
      </c>
    </row>
    <row r="45" spans="1:26" s="61" customFormat="1" x14ac:dyDescent="0.25"/>
    <row r="46" spans="1:26" s="61" customFormat="1" x14ac:dyDescent="0.25">
      <c r="A46" s="62" t="s">
        <v>82</v>
      </c>
    </row>
    <row r="47" spans="1:26" s="61" customFormat="1" x14ac:dyDescent="0.25">
      <c r="A47" s="46" t="s">
        <v>9</v>
      </c>
      <c r="B47" s="27"/>
      <c r="C47" s="60"/>
      <c r="D47" s="27"/>
      <c r="E47" s="60">
        <f>NPV($B$2,C49:C69)</f>
        <v>0</v>
      </c>
      <c r="H47" s="46" t="s">
        <v>89</v>
      </c>
      <c r="I47" s="27"/>
      <c r="J47" s="60"/>
      <c r="K47" s="27"/>
      <c r="L47" s="60">
        <f>NPV($B$2,J49:J69)</f>
        <v>0</v>
      </c>
      <c r="O47" s="46" t="s">
        <v>20</v>
      </c>
      <c r="P47" s="27"/>
      <c r="Q47" s="60"/>
      <c r="R47" s="27"/>
      <c r="S47" s="60">
        <f>NPV($B$2,Q49:Q69)</f>
        <v>0</v>
      </c>
      <c r="V47" s="46" t="s">
        <v>21</v>
      </c>
      <c r="W47" s="27"/>
      <c r="X47" s="60"/>
      <c r="Y47" s="27"/>
      <c r="Z47" s="60">
        <f>NPV($B$2,X49:X69)</f>
        <v>0</v>
      </c>
    </row>
    <row r="48" spans="1:26" s="61" customFormat="1" x14ac:dyDescent="0.25">
      <c r="A48" s="13" t="s">
        <v>0</v>
      </c>
      <c r="B48" s="13" t="s">
        <v>1</v>
      </c>
      <c r="C48" s="13" t="s">
        <v>26</v>
      </c>
      <c r="D48" s="13" t="s">
        <v>27</v>
      </c>
      <c r="E48" s="53" t="s">
        <v>28</v>
      </c>
      <c r="F48" s="63"/>
      <c r="H48" s="13" t="s">
        <v>0</v>
      </c>
      <c r="I48" s="13" t="s">
        <v>1</v>
      </c>
      <c r="J48" s="13" t="s">
        <v>26</v>
      </c>
      <c r="K48" s="13" t="s">
        <v>27</v>
      </c>
      <c r="L48" s="53" t="s">
        <v>28</v>
      </c>
      <c r="M48" s="63"/>
      <c r="N48" s="63"/>
      <c r="O48" s="13" t="s">
        <v>0</v>
      </c>
      <c r="P48" s="13" t="s">
        <v>1</v>
      </c>
      <c r="Q48" s="13" t="s">
        <v>26</v>
      </c>
      <c r="R48" s="13" t="s">
        <v>27</v>
      </c>
      <c r="S48" s="53" t="s">
        <v>28</v>
      </c>
      <c r="V48" s="13" t="s">
        <v>0</v>
      </c>
      <c r="W48" s="13" t="s">
        <v>1</v>
      </c>
      <c r="X48" s="13" t="s">
        <v>26</v>
      </c>
      <c r="Y48" s="13" t="s">
        <v>27</v>
      </c>
      <c r="Z48" s="53" t="s">
        <v>28</v>
      </c>
    </row>
    <row r="49" spans="1:26" s="61" customFormat="1" x14ac:dyDescent="0.25">
      <c r="A49" s="95" t="s">
        <v>10</v>
      </c>
      <c r="B49" s="13">
        <v>2020</v>
      </c>
      <c r="C49" s="2">
        <v>0</v>
      </c>
      <c r="D49" s="2">
        <v>0</v>
      </c>
      <c r="E49" s="2">
        <v>0</v>
      </c>
      <c r="F49" s="66"/>
      <c r="H49" s="95" t="s">
        <v>10</v>
      </c>
      <c r="I49" s="13">
        <v>2020</v>
      </c>
      <c r="J49" s="2">
        <v>0</v>
      </c>
      <c r="K49" s="2">
        <v>0</v>
      </c>
      <c r="L49" s="2">
        <v>0</v>
      </c>
      <c r="M49" s="63"/>
      <c r="N49" s="63"/>
      <c r="O49" s="95" t="s">
        <v>10</v>
      </c>
      <c r="P49" s="13">
        <v>2020</v>
      </c>
      <c r="Q49" s="2">
        <v>0</v>
      </c>
      <c r="R49" s="2">
        <v>0</v>
      </c>
      <c r="S49" s="2">
        <v>0</v>
      </c>
      <c r="V49" s="95" t="s">
        <v>10</v>
      </c>
      <c r="W49" s="13">
        <v>2020</v>
      </c>
      <c r="X49" s="2">
        <v>0</v>
      </c>
      <c r="Y49" s="2">
        <v>0</v>
      </c>
      <c r="Z49" s="2">
        <v>0</v>
      </c>
    </row>
    <row r="50" spans="1:26" s="61" customFormat="1" x14ac:dyDescent="0.25">
      <c r="A50" s="96"/>
      <c r="B50" s="53">
        <v>2021</v>
      </c>
      <c r="C50" s="2">
        <v>0</v>
      </c>
      <c r="D50" s="2">
        <v>0</v>
      </c>
      <c r="E50" s="2">
        <v>0</v>
      </c>
      <c r="H50" s="96" t="s">
        <v>10</v>
      </c>
      <c r="I50" s="53">
        <v>2021</v>
      </c>
      <c r="J50" s="2">
        <v>0</v>
      </c>
      <c r="K50" s="2">
        <v>0</v>
      </c>
      <c r="L50" s="2">
        <v>0</v>
      </c>
      <c r="O50" s="96" t="s">
        <v>10</v>
      </c>
      <c r="P50" s="53">
        <v>2021</v>
      </c>
      <c r="Q50" s="2">
        <v>0</v>
      </c>
      <c r="R50" s="2">
        <v>0</v>
      </c>
      <c r="S50" s="2">
        <v>0</v>
      </c>
      <c r="V50" s="96" t="s">
        <v>10</v>
      </c>
      <c r="W50" s="53">
        <v>2021</v>
      </c>
      <c r="X50" s="2">
        <v>0</v>
      </c>
      <c r="Y50" s="2">
        <v>0</v>
      </c>
      <c r="Z50" s="2">
        <v>0</v>
      </c>
    </row>
    <row r="51" spans="1:26" s="61" customFormat="1" x14ac:dyDescent="0.25">
      <c r="A51" s="96"/>
      <c r="B51" s="53">
        <v>2022</v>
      </c>
      <c r="C51" s="2">
        <v>0</v>
      </c>
      <c r="D51" s="2">
        <v>0</v>
      </c>
      <c r="E51" s="2">
        <v>0</v>
      </c>
      <c r="H51" s="96"/>
      <c r="I51" s="53">
        <v>2022</v>
      </c>
      <c r="J51" s="2">
        <v>0</v>
      </c>
      <c r="K51" s="2">
        <v>0</v>
      </c>
      <c r="L51" s="2">
        <v>0</v>
      </c>
      <c r="O51" s="96"/>
      <c r="P51" s="53">
        <v>2022</v>
      </c>
      <c r="Q51" s="2">
        <v>0</v>
      </c>
      <c r="R51" s="2">
        <v>0</v>
      </c>
      <c r="S51" s="2">
        <v>0</v>
      </c>
      <c r="V51" s="96"/>
      <c r="W51" s="53">
        <v>2022</v>
      </c>
      <c r="X51" s="2">
        <v>0</v>
      </c>
      <c r="Y51" s="2">
        <v>0</v>
      </c>
      <c r="Z51" s="2">
        <v>0</v>
      </c>
    </row>
    <row r="52" spans="1:26" s="61" customFormat="1" x14ac:dyDescent="0.25">
      <c r="A52" s="96"/>
      <c r="B52" s="53">
        <v>2023</v>
      </c>
      <c r="C52" s="2">
        <v>0</v>
      </c>
      <c r="D52" s="2">
        <v>0</v>
      </c>
      <c r="E52" s="2">
        <v>0</v>
      </c>
      <c r="H52" s="96"/>
      <c r="I52" s="53">
        <v>2023</v>
      </c>
      <c r="J52" s="2">
        <v>0</v>
      </c>
      <c r="K52" s="2">
        <v>0</v>
      </c>
      <c r="L52" s="2">
        <v>0</v>
      </c>
      <c r="O52" s="96"/>
      <c r="P52" s="53">
        <v>2023</v>
      </c>
      <c r="Q52" s="2">
        <v>0</v>
      </c>
      <c r="R52" s="2">
        <v>0</v>
      </c>
      <c r="S52" s="2">
        <v>0</v>
      </c>
      <c r="V52" s="96"/>
      <c r="W52" s="53">
        <v>2023</v>
      </c>
      <c r="X52" s="2">
        <v>0</v>
      </c>
      <c r="Y52" s="2">
        <v>0</v>
      </c>
      <c r="Z52" s="2">
        <v>0</v>
      </c>
    </row>
    <row r="53" spans="1:26" s="61" customFormat="1" x14ac:dyDescent="0.25">
      <c r="A53" s="96"/>
      <c r="B53" s="53">
        <v>2024</v>
      </c>
      <c r="C53" s="2">
        <v>0</v>
      </c>
      <c r="D53" s="2">
        <v>0</v>
      </c>
      <c r="E53" s="2">
        <v>0</v>
      </c>
      <c r="H53" s="96"/>
      <c r="I53" s="53">
        <v>2024</v>
      </c>
      <c r="J53" s="2">
        <v>0</v>
      </c>
      <c r="K53" s="2">
        <v>0</v>
      </c>
      <c r="L53" s="2">
        <v>0</v>
      </c>
      <c r="O53" s="96"/>
      <c r="P53" s="53">
        <v>2024</v>
      </c>
      <c r="Q53" s="2">
        <v>0</v>
      </c>
      <c r="R53" s="2">
        <v>0</v>
      </c>
      <c r="S53" s="2">
        <v>0</v>
      </c>
      <c r="V53" s="96"/>
      <c r="W53" s="53">
        <v>2024</v>
      </c>
      <c r="X53" s="2">
        <v>0</v>
      </c>
      <c r="Y53" s="2">
        <v>0</v>
      </c>
      <c r="Z53" s="2">
        <v>0</v>
      </c>
    </row>
    <row r="54" spans="1:26" s="61" customFormat="1" x14ac:dyDescent="0.25">
      <c r="A54" s="96"/>
      <c r="B54" s="53">
        <v>2025</v>
      </c>
      <c r="C54" s="2">
        <v>0</v>
      </c>
      <c r="D54" s="2">
        <v>0</v>
      </c>
      <c r="E54" s="2">
        <v>0</v>
      </c>
      <c r="H54" s="96"/>
      <c r="I54" s="53">
        <v>2025</v>
      </c>
      <c r="J54" s="2">
        <v>0</v>
      </c>
      <c r="K54" s="2">
        <v>0</v>
      </c>
      <c r="L54" s="2">
        <v>0</v>
      </c>
      <c r="O54" s="96"/>
      <c r="P54" s="53">
        <v>2025</v>
      </c>
      <c r="Q54" s="2">
        <v>0</v>
      </c>
      <c r="R54" s="2">
        <v>0</v>
      </c>
      <c r="S54" s="2">
        <v>0</v>
      </c>
      <c r="V54" s="96"/>
      <c r="W54" s="53">
        <v>2025</v>
      </c>
      <c r="X54" s="2">
        <v>0</v>
      </c>
      <c r="Y54" s="2">
        <v>0</v>
      </c>
      <c r="Z54" s="2">
        <v>0</v>
      </c>
    </row>
    <row r="55" spans="1:26" s="61" customFormat="1" x14ac:dyDescent="0.25">
      <c r="A55" s="96"/>
      <c r="B55" s="53">
        <v>2026</v>
      </c>
      <c r="C55" s="2">
        <v>0</v>
      </c>
      <c r="D55" s="2">
        <v>0</v>
      </c>
      <c r="E55" s="2">
        <v>0</v>
      </c>
      <c r="H55" s="96"/>
      <c r="I55" s="53">
        <v>2026</v>
      </c>
      <c r="J55" s="2">
        <v>0</v>
      </c>
      <c r="K55" s="2">
        <v>0</v>
      </c>
      <c r="L55" s="2">
        <v>0</v>
      </c>
      <c r="O55" s="96"/>
      <c r="P55" s="53">
        <v>2026</v>
      </c>
      <c r="Q55" s="2">
        <v>0</v>
      </c>
      <c r="R55" s="2">
        <v>0</v>
      </c>
      <c r="S55" s="2">
        <v>0</v>
      </c>
      <c r="V55" s="96"/>
      <c r="W55" s="53">
        <v>2026</v>
      </c>
      <c r="X55" s="2">
        <v>0</v>
      </c>
      <c r="Y55" s="2">
        <v>0</v>
      </c>
      <c r="Z55" s="2">
        <v>0</v>
      </c>
    </row>
    <row r="56" spans="1:26" s="61" customFormat="1" x14ac:dyDescent="0.25">
      <c r="A56" s="96"/>
      <c r="B56" s="53">
        <v>2027</v>
      </c>
      <c r="C56" s="2">
        <v>0</v>
      </c>
      <c r="D56" s="2">
        <v>0</v>
      </c>
      <c r="E56" s="2">
        <v>0</v>
      </c>
      <c r="H56" s="96"/>
      <c r="I56" s="53">
        <v>2027</v>
      </c>
      <c r="J56" s="2">
        <v>0</v>
      </c>
      <c r="K56" s="2">
        <v>0</v>
      </c>
      <c r="L56" s="2">
        <v>0</v>
      </c>
      <c r="O56" s="96"/>
      <c r="P56" s="53">
        <v>2027</v>
      </c>
      <c r="Q56" s="2">
        <v>0</v>
      </c>
      <c r="R56" s="2">
        <v>0</v>
      </c>
      <c r="S56" s="2">
        <v>0</v>
      </c>
      <c r="V56" s="96"/>
      <c r="W56" s="53">
        <v>2027</v>
      </c>
      <c r="X56" s="2">
        <v>0</v>
      </c>
      <c r="Y56" s="2">
        <v>0</v>
      </c>
      <c r="Z56" s="2">
        <v>0</v>
      </c>
    </row>
    <row r="57" spans="1:26" s="61" customFormat="1" x14ac:dyDescent="0.25">
      <c r="A57" s="96"/>
      <c r="B57" s="53">
        <v>2028</v>
      </c>
      <c r="C57" s="2">
        <v>0</v>
      </c>
      <c r="D57" s="2">
        <v>0</v>
      </c>
      <c r="E57" s="2">
        <v>0</v>
      </c>
      <c r="H57" s="96"/>
      <c r="I57" s="53">
        <v>2028</v>
      </c>
      <c r="J57" s="2">
        <v>0</v>
      </c>
      <c r="K57" s="2">
        <v>0</v>
      </c>
      <c r="L57" s="2">
        <v>0</v>
      </c>
      <c r="O57" s="96"/>
      <c r="P57" s="53">
        <v>2028</v>
      </c>
      <c r="Q57" s="2">
        <v>0</v>
      </c>
      <c r="R57" s="2">
        <v>0</v>
      </c>
      <c r="S57" s="2">
        <v>0</v>
      </c>
      <c r="V57" s="96"/>
      <c r="W57" s="53">
        <v>2028</v>
      </c>
      <c r="X57" s="2">
        <v>0</v>
      </c>
      <c r="Y57" s="2">
        <v>0</v>
      </c>
      <c r="Z57" s="2">
        <v>0</v>
      </c>
    </row>
    <row r="58" spans="1:26" s="61" customFormat="1" x14ac:dyDescent="0.25">
      <c r="A58" s="96"/>
      <c r="B58" s="53">
        <v>2029</v>
      </c>
      <c r="C58" s="2">
        <v>0</v>
      </c>
      <c r="D58" s="2">
        <v>0</v>
      </c>
      <c r="E58" s="2">
        <v>0</v>
      </c>
      <c r="H58" s="96"/>
      <c r="I58" s="53">
        <v>2029</v>
      </c>
      <c r="J58" s="2">
        <v>0</v>
      </c>
      <c r="K58" s="2">
        <v>0</v>
      </c>
      <c r="L58" s="2">
        <v>0</v>
      </c>
      <c r="O58" s="96"/>
      <c r="P58" s="53">
        <v>2029</v>
      </c>
      <c r="Q58" s="2">
        <v>0</v>
      </c>
      <c r="R58" s="2">
        <v>0</v>
      </c>
      <c r="S58" s="2">
        <v>0</v>
      </c>
      <c r="V58" s="96"/>
      <c r="W58" s="53">
        <v>2029</v>
      </c>
      <c r="X58" s="2">
        <v>0</v>
      </c>
      <c r="Y58" s="2">
        <v>0</v>
      </c>
      <c r="Z58" s="2">
        <v>0</v>
      </c>
    </row>
    <row r="59" spans="1:26" s="61" customFormat="1" x14ac:dyDescent="0.25">
      <c r="A59" s="96"/>
      <c r="B59" s="53">
        <v>2030</v>
      </c>
      <c r="C59" s="2">
        <v>0</v>
      </c>
      <c r="D59" s="2">
        <v>0</v>
      </c>
      <c r="E59" s="2">
        <v>0</v>
      </c>
      <c r="H59" s="96"/>
      <c r="I59" s="53">
        <v>2030</v>
      </c>
      <c r="J59" s="2">
        <v>0</v>
      </c>
      <c r="K59" s="2">
        <v>0</v>
      </c>
      <c r="L59" s="2">
        <v>0</v>
      </c>
      <c r="O59" s="96"/>
      <c r="P59" s="53">
        <v>2030</v>
      </c>
      <c r="Q59" s="2">
        <v>0</v>
      </c>
      <c r="R59" s="2">
        <v>0</v>
      </c>
      <c r="S59" s="2">
        <v>0</v>
      </c>
      <c r="V59" s="96"/>
      <c r="W59" s="53">
        <v>2030</v>
      </c>
      <c r="X59" s="2">
        <v>0</v>
      </c>
      <c r="Y59" s="2">
        <v>0</v>
      </c>
      <c r="Z59" s="2">
        <v>0</v>
      </c>
    </row>
    <row r="60" spans="1:26" s="61" customFormat="1" x14ac:dyDescent="0.25">
      <c r="A60" s="96"/>
      <c r="B60" s="53">
        <v>2031</v>
      </c>
      <c r="C60" s="2">
        <v>0</v>
      </c>
      <c r="D60" s="2">
        <v>0</v>
      </c>
      <c r="E60" s="2">
        <v>0</v>
      </c>
      <c r="H60" s="96"/>
      <c r="I60" s="53">
        <v>2031</v>
      </c>
      <c r="J60" s="2">
        <v>0</v>
      </c>
      <c r="K60" s="2">
        <v>0</v>
      </c>
      <c r="L60" s="2">
        <v>0</v>
      </c>
      <c r="O60" s="96"/>
      <c r="P60" s="53">
        <v>2031</v>
      </c>
      <c r="Q60" s="2">
        <v>0</v>
      </c>
      <c r="R60" s="2">
        <v>0</v>
      </c>
      <c r="S60" s="2">
        <v>0</v>
      </c>
      <c r="V60" s="96"/>
      <c r="W60" s="53">
        <v>2031</v>
      </c>
      <c r="X60" s="2">
        <v>0</v>
      </c>
      <c r="Y60" s="2">
        <v>0</v>
      </c>
      <c r="Z60" s="2">
        <v>0</v>
      </c>
    </row>
    <row r="61" spans="1:26" s="61" customFormat="1" x14ac:dyDescent="0.25">
      <c r="A61" s="96"/>
      <c r="B61" s="53">
        <v>2032</v>
      </c>
      <c r="C61" s="2">
        <v>0</v>
      </c>
      <c r="D61" s="2">
        <v>0</v>
      </c>
      <c r="E61" s="2">
        <v>0</v>
      </c>
      <c r="H61" s="96"/>
      <c r="I61" s="53">
        <v>2032</v>
      </c>
      <c r="J61" s="2">
        <v>0</v>
      </c>
      <c r="K61" s="2">
        <v>0</v>
      </c>
      <c r="L61" s="2">
        <v>0</v>
      </c>
      <c r="O61" s="96"/>
      <c r="P61" s="53">
        <v>2032</v>
      </c>
      <c r="Q61" s="2">
        <v>0</v>
      </c>
      <c r="R61" s="2">
        <v>0</v>
      </c>
      <c r="S61" s="2">
        <v>0</v>
      </c>
      <c r="V61" s="96"/>
      <c r="W61" s="53">
        <v>2032</v>
      </c>
      <c r="X61" s="2">
        <v>0</v>
      </c>
      <c r="Y61" s="2">
        <v>0</v>
      </c>
      <c r="Z61" s="2">
        <v>0</v>
      </c>
    </row>
    <row r="62" spans="1:26" s="61" customFormat="1" x14ac:dyDescent="0.25">
      <c r="A62" s="96"/>
      <c r="B62" s="53">
        <v>2033</v>
      </c>
      <c r="C62" s="2">
        <v>0</v>
      </c>
      <c r="D62" s="2">
        <v>0</v>
      </c>
      <c r="E62" s="2">
        <v>0</v>
      </c>
      <c r="H62" s="96"/>
      <c r="I62" s="53">
        <v>2033</v>
      </c>
      <c r="J62" s="2">
        <v>0</v>
      </c>
      <c r="K62" s="2">
        <v>0</v>
      </c>
      <c r="L62" s="2">
        <v>0</v>
      </c>
      <c r="O62" s="96"/>
      <c r="P62" s="53">
        <v>2033</v>
      </c>
      <c r="Q62" s="2">
        <v>0</v>
      </c>
      <c r="R62" s="2">
        <v>0</v>
      </c>
      <c r="S62" s="2">
        <v>0</v>
      </c>
      <c r="V62" s="96"/>
      <c r="W62" s="53">
        <v>2033</v>
      </c>
      <c r="X62" s="2">
        <v>0</v>
      </c>
      <c r="Y62" s="2">
        <v>0</v>
      </c>
      <c r="Z62" s="2">
        <v>0</v>
      </c>
    </row>
    <row r="63" spans="1:26" s="61" customFormat="1" x14ac:dyDescent="0.25">
      <c r="A63" s="96"/>
      <c r="B63" s="53">
        <v>2034</v>
      </c>
      <c r="C63" s="2">
        <v>0</v>
      </c>
      <c r="D63" s="2">
        <v>0</v>
      </c>
      <c r="E63" s="2">
        <v>0</v>
      </c>
      <c r="H63" s="96"/>
      <c r="I63" s="53">
        <v>2034</v>
      </c>
      <c r="J63" s="2">
        <v>0</v>
      </c>
      <c r="K63" s="2">
        <v>0</v>
      </c>
      <c r="L63" s="2">
        <v>0</v>
      </c>
      <c r="O63" s="96"/>
      <c r="P63" s="53">
        <v>2034</v>
      </c>
      <c r="Q63" s="2">
        <v>0</v>
      </c>
      <c r="R63" s="2">
        <v>0</v>
      </c>
      <c r="S63" s="2">
        <v>0</v>
      </c>
      <c r="V63" s="96"/>
      <c r="W63" s="53">
        <v>2034</v>
      </c>
      <c r="X63" s="2">
        <v>0</v>
      </c>
      <c r="Y63" s="2">
        <v>0</v>
      </c>
      <c r="Z63" s="2">
        <v>0</v>
      </c>
    </row>
    <row r="64" spans="1:26" s="61" customFormat="1" x14ac:dyDescent="0.25">
      <c r="A64" s="96"/>
      <c r="B64" s="53">
        <v>2035</v>
      </c>
      <c r="C64" s="2">
        <v>0</v>
      </c>
      <c r="D64" s="2">
        <v>0</v>
      </c>
      <c r="E64" s="2">
        <v>0</v>
      </c>
      <c r="H64" s="96"/>
      <c r="I64" s="53">
        <v>2035</v>
      </c>
      <c r="J64" s="2">
        <v>0</v>
      </c>
      <c r="K64" s="2">
        <v>0</v>
      </c>
      <c r="L64" s="2">
        <v>0</v>
      </c>
      <c r="O64" s="96"/>
      <c r="P64" s="53">
        <v>2035</v>
      </c>
      <c r="Q64" s="2">
        <v>0</v>
      </c>
      <c r="R64" s="2">
        <v>0</v>
      </c>
      <c r="S64" s="2">
        <v>0</v>
      </c>
      <c r="V64" s="96"/>
      <c r="W64" s="53">
        <v>2035</v>
      </c>
      <c r="X64" s="2">
        <v>0</v>
      </c>
      <c r="Y64" s="2">
        <v>0</v>
      </c>
      <c r="Z64" s="2">
        <v>0</v>
      </c>
    </row>
    <row r="65" spans="1:27" s="61" customFormat="1" x14ac:dyDescent="0.25">
      <c r="A65" s="96"/>
      <c r="B65" s="53">
        <v>2036</v>
      </c>
      <c r="C65" s="2">
        <v>0</v>
      </c>
      <c r="D65" s="2">
        <v>0</v>
      </c>
      <c r="E65" s="2">
        <v>0</v>
      </c>
      <c r="H65" s="96"/>
      <c r="I65" s="53">
        <v>2036</v>
      </c>
      <c r="J65" s="2">
        <v>0</v>
      </c>
      <c r="K65" s="2">
        <v>0</v>
      </c>
      <c r="L65" s="2">
        <v>0</v>
      </c>
      <c r="O65" s="96"/>
      <c r="P65" s="53">
        <v>2036</v>
      </c>
      <c r="Q65" s="2">
        <v>0</v>
      </c>
      <c r="R65" s="2">
        <v>0</v>
      </c>
      <c r="S65" s="2">
        <v>0</v>
      </c>
      <c r="V65" s="96"/>
      <c r="W65" s="53">
        <v>2036</v>
      </c>
      <c r="X65" s="2">
        <v>0</v>
      </c>
      <c r="Y65" s="2">
        <v>0</v>
      </c>
      <c r="Z65" s="2">
        <v>0</v>
      </c>
    </row>
    <row r="66" spans="1:27" s="61" customFormat="1" x14ac:dyDescent="0.25">
      <c r="A66" s="96"/>
      <c r="B66" s="53">
        <v>2037</v>
      </c>
      <c r="C66" s="2">
        <v>0</v>
      </c>
      <c r="D66" s="2">
        <v>0</v>
      </c>
      <c r="E66" s="2">
        <v>0</v>
      </c>
      <c r="H66" s="96"/>
      <c r="I66" s="53">
        <v>2037</v>
      </c>
      <c r="J66" s="2">
        <v>0</v>
      </c>
      <c r="K66" s="2">
        <v>0</v>
      </c>
      <c r="L66" s="2">
        <v>0</v>
      </c>
      <c r="O66" s="96"/>
      <c r="P66" s="53">
        <v>2037</v>
      </c>
      <c r="Q66" s="2">
        <v>0</v>
      </c>
      <c r="R66" s="2">
        <v>0</v>
      </c>
      <c r="S66" s="2">
        <v>0</v>
      </c>
      <c r="V66" s="96"/>
      <c r="W66" s="53">
        <v>2037</v>
      </c>
      <c r="X66" s="2">
        <v>0</v>
      </c>
      <c r="Y66" s="2">
        <v>0</v>
      </c>
      <c r="Z66" s="2">
        <v>0</v>
      </c>
    </row>
    <row r="67" spans="1:27" s="61" customFormat="1" x14ac:dyDescent="0.25">
      <c r="A67" s="96"/>
      <c r="B67" s="53">
        <v>2038</v>
      </c>
      <c r="C67" s="2">
        <v>0</v>
      </c>
      <c r="D67" s="2">
        <v>0</v>
      </c>
      <c r="E67" s="2">
        <v>0</v>
      </c>
      <c r="H67" s="96"/>
      <c r="I67" s="53">
        <v>2038</v>
      </c>
      <c r="J67" s="2">
        <v>0</v>
      </c>
      <c r="K67" s="2">
        <v>0</v>
      </c>
      <c r="L67" s="2">
        <v>0</v>
      </c>
      <c r="O67" s="96"/>
      <c r="P67" s="53">
        <v>2038</v>
      </c>
      <c r="Q67" s="2">
        <v>0</v>
      </c>
      <c r="R67" s="2">
        <v>0</v>
      </c>
      <c r="S67" s="2">
        <v>0</v>
      </c>
      <c r="V67" s="96"/>
      <c r="W67" s="53">
        <v>2038</v>
      </c>
      <c r="X67" s="2">
        <v>0</v>
      </c>
      <c r="Y67" s="2">
        <v>0</v>
      </c>
      <c r="Z67" s="2">
        <v>0</v>
      </c>
    </row>
    <row r="68" spans="1:27" s="61" customFormat="1" x14ac:dyDescent="0.25">
      <c r="A68" s="96"/>
      <c r="B68" s="53">
        <v>2039</v>
      </c>
      <c r="C68" s="2">
        <v>0</v>
      </c>
      <c r="D68" s="2">
        <v>0</v>
      </c>
      <c r="E68" s="2">
        <v>0</v>
      </c>
      <c r="H68" s="96"/>
      <c r="I68" s="53">
        <v>2039</v>
      </c>
      <c r="J68" s="2">
        <v>0</v>
      </c>
      <c r="K68" s="2">
        <v>0</v>
      </c>
      <c r="L68" s="2">
        <v>0</v>
      </c>
      <c r="O68" s="96"/>
      <c r="P68" s="53">
        <v>2039</v>
      </c>
      <c r="Q68" s="2">
        <v>0</v>
      </c>
      <c r="R68" s="2">
        <v>0</v>
      </c>
      <c r="S68" s="2">
        <v>0</v>
      </c>
      <c r="V68" s="96"/>
      <c r="W68" s="53">
        <v>2039</v>
      </c>
      <c r="X68" s="2">
        <v>0</v>
      </c>
      <c r="Y68" s="2">
        <v>0</v>
      </c>
      <c r="Z68" s="2">
        <v>0</v>
      </c>
    </row>
    <row r="69" spans="1:27" s="61" customFormat="1" x14ac:dyDescent="0.25">
      <c r="A69" s="97"/>
      <c r="B69" s="53">
        <v>2040</v>
      </c>
      <c r="C69" s="2">
        <v>0</v>
      </c>
      <c r="D69" s="2">
        <v>0</v>
      </c>
      <c r="E69" s="2">
        <v>0</v>
      </c>
      <c r="H69" s="97"/>
      <c r="I69" s="53">
        <v>2040</v>
      </c>
      <c r="J69" s="2">
        <v>0</v>
      </c>
      <c r="K69" s="2">
        <v>0</v>
      </c>
      <c r="L69" s="2">
        <v>0</v>
      </c>
      <c r="O69" s="97"/>
      <c r="P69" s="53">
        <v>2040</v>
      </c>
      <c r="Q69" s="2">
        <v>0</v>
      </c>
      <c r="R69" s="2">
        <v>0</v>
      </c>
      <c r="S69" s="2">
        <v>0</v>
      </c>
      <c r="V69" s="97"/>
      <c r="W69" s="53">
        <v>2040</v>
      </c>
      <c r="X69" s="2">
        <v>0</v>
      </c>
      <c r="Y69" s="2">
        <v>0</v>
      </c>
      <c r="Z69" s="2">
        <v>0</v>
      </c>
    </row>
    <row r="70" spans="1:27" s="61" customFormat="1" x14ac:dyDescent="0.25">
      <c r="A70" s="41"/>
      <c r="B70" s="65"/>
      <c r="C70" s="4"/>
      <c r="D70" s="4"/>
      <c r="E70" s="4"/>
      <c r="H70" s="41"/>
      <c r="I70" s="65"/>
      <c r="J70" s="4"/>
      <c r="K70" s="4"/>
      <c r="L70" s="4"/>
      <c r="O70" s="41"/>
      <c r="P70" s="65"/>
      <c r="Q70" s="4"/>
      <c r="R70" s="4"/>
      <c r="S70" s="4"/>
      <c r="V70" s="41"/>
      <c r="W70" s="65"/>
      <c r="X70" s="4"/>
      <c r="Y70" s="4"/>
      <c r="Z70" s="4"/>
    </row>
    <row r="71" spans="1:27" s="61" customFormat="1" x14ac:dyDescent="0.25">
      <c r="A71" s="73" t="s">
        <v>64</v>
      </c>
      <c r="B71" s="65"/>
      <c r="C71" s="4"/>
      <c r="D71" s="4"/>
      <c r="E71" s="4"/>
      <c r="H71" s="73"/>
      <c r="I71" s="65"/>
      <c r="J71" s="4"/>
      <c r="K71" s="4"/>
      <c r="L71" s="4"/>
      <c r="O71" s="73"/>
      <c r="P71" s="65"/>
      <c r="Q71" s="4"/>
      <c r="R71" s="4"/>
      <c r="S71" s="4"/>
      <c r="V71" s="73"/>
      <c r="W71" s="65"/>
      <c r="X71" s="4"/>
      <c r="Y71" s="4"/>
      <c r="Z71" s="4"/>
    </row>
    <row r="72" spans="1:27" s="61" customFormat="1" x14ac:dyDescent="0.25">
      <c r="A72" s="46" t="s">
        <v>9</v>
      </c>
      <c r="B72" s="46"/>
      <c r="C72" s="75">
        <f>NPV($B$2,C74:C87)</f>
        <v>339787.0709082773</v>
      </c>
      <c r="H72" s="46" t="s">
        <v>89</v>
      </c>
      <c r="I72" s="46"/>
      <c r="J72" s="75">
        <f>NPV($B$2,J74:J87)</f>
        <v>237456.09115803623</v>
      </c>
      <c r="L72" s="39"/>
      <c r="O72" s="46" t="s">
        <v>20</v>
      </c>
      <c r="P72" s="46"/>
      <c r="Q72" s="75">
        <f>NPV($B$2,Q74:Q87)</f>
        <v>257434.497721361</v>
      </c>
      <c r="S72" s="39"/>
      <c r="V72" s="46" t="s">
        <v>21</v>
      </c>
      <c r="W72" s="46"/>
      <c r="X72" s="75">
        <f>NPV($B$2,X74:X87)</f>
        <v>357640.7046508558</v>
      </c>
      <c r="Z72" s="39"/>
    </row>
    <row r="73" spans="1:27" s="61" customFormat="1" x14ac:dyDescent="0.25">
      <c r="A73" s="13" t="s">
        <v>0</v>
      </c>
      <c r="B73" s="13" t="s">
        <v>1</v>
      </c>
      <c r="C73" s="13" t="s">
        <v>4</v>
      </c>
      <c r="D73" s="63"/>
      <c r="E73" s="63"/>
      <c r="F73" s="63"/>
      <c r="H73" s="13" t="s">
        <v>0</v>
      </c>
      <c r="I73" s="13" t="s">
        <v>1</v>
      </c>
      <c r="J73" s="13" t="s">
        <v>4</v>
      </c>
      <c r="K73" s="63"/>
      <c r="L73" s="65"/>
      <c r="M73" s="63"/>
      <c r="O73" s="13" t="s">
        <v>0</v>
      </c>
      <c r="P73" s="13" t="s">
        <v>1</v>
      </c>
      <c r="Q73" s="13" t="s">
        <v>4</v>
      </c>
      <c r="R73" s="63"/>
      <c r="S73" s="65"/>
      <c r="T73" s="63"/>
      <c r="V73" s="13" t="s">
        <v>0</v>
      </c>
      <c r="W73" s="13" t="s">
        <v>1</v>
      </c>
      <c r="X73" s="13" t="s">
        <v>4</v>
      </c>
      <c r="Y73" s="63"/>
      <c r="Z73" s="65"/>
      <c r="AA73" s="63"/>
    </row>
    <row r="74" spans="1:27" s="61" customFormat="1" x14ac:dyDescent="0.25">
      <c r="A74" s="93" t="s">
        <v>10</v>
      </c>
      <c r="B74" s="53">
        <v>2020</v>
      </c>
      <c r="C74" s="2">
        <v>-3818.2206315519807</v>
      </c>
      <c r="D74" s="66"/>
      <c r="E74" s="66"/>
      <c r="F74" s="66"/>
      <c r="H74" s="94" t="s">
        <v>10</v>
      </c>
      <c r="I74" s="53">
        <v>2020</v>
      </c>
      <c r="J74" s="2">
        <v>-3852.208726500578</v>
      </c>
      <c r="K74" s="66"/>
      <c r="L74" s="4"/>
      <c r="M74" s="66"/>
      <c r="O74" s="94" t="s">
        <v>10</v>
      </c>
      <c r="P74" s="53">
        <v>2020</v>
      </c>
      <c r="Q74" s="2">
        <v>-177.59276688371983</v>
      </c>
      <c r="R74" s="66"/>
      <c r="S74" s="4"/>
      <c r="T74" s="66"/>
      <c r="V74" s="94" t="s">
        <v>10</v>
      </c>
      <c r="W74" s="53">
        <v>2020</v>
      </c>
      <c r="X74" s="2">
        <v>0</v>
      </c>
      <c r="Y74" s="66"/>
      <c r="Z74" s="4"/>
      <c r="AA74" s="66"/>
    </row>
    <row r="75" spans="1:27" s="61" customFormat="1" x14ac:dyDescent="0.25">
      <c r="A75" s="93"/>
      <c r="B75" s="53">
        <v>2021</v>
      </c>
      <c r="C75" s="2">
        <v>21353.461754340686</v>
      </c>
      <c r="D75" s="48"/>
      <c r="E75" s="48"/>
      <c r="F75" s="48"/>
      <c r="H75" s="94"/>
      <c r="I75" s="53">
        <v>2021</v>
      </c>
      <c r="J75" s="2">
        <v>21319.47365939209</v>
      </c>
      <c r="K75" s="48"/>
      <c r="L75" s="4"/>
      <c r="M75" s="48"/>
      <c r="O75" s="94"/>
      <c r="P75" s="53">
        <v>2021</v>
      </c>
      <c r="Q75" s="2">
        <v>25126.678680963665</v>
      </c>
      <c r="R75" s="48"/>
      <c r="S75" s="4"/>
      <c r="T75" s="48"/>
      <c r="V75" s="94"/>
      <c r="W75" s="53">
        <v>2021</v>
      </c>
      <c r="X75" s="2">
        <v>24249.661438277712</v>
      </c>
      <c r="Y75" s="48"/>
      <c r="Z75" s="4"/>
      <c r="AA75" s="48"/>
    </row>
    <row r="76" spans="1:27" s="61" customFormat="1" x14ac:dyDescent="0.25">
      <c r="A76" s="93"/>
      <c r="B76" s="53">
        <v>2022</v>
      </c>
      <c r="C76" s="2">
        <v>39107.430227171906</v>
      </c>
      <c r="D76" s="48"/>
      <c r="E76" s="48"/>
      <c r="F76" s="48"/>
      <c r="H76" s="94"/>
      <c r="I76" s="53">
        <v>2022</v>
      </c>
      <c r="J76" s="2">
        <v>39073.442132223303</v>
      </c>
      <c r="K76" s="48"/>
      <c r="L76" s="4"/>
      <c r="M76" s="48"/>
      <c r="O76" s="94"/>
      <c r="P76" s="53">
        <v>2022</v>
      </c>
      <c r="Q76" s="2">
        <v>42991.359361449722</v>
      </c>
      <c r="R76" s="48"/>
      <c r="S76" s="4"/>
      <c r="T76" s="48"/>
      <c r="V76" s="94"/>
      <c r="W76" s="53">
        <v>2022</v>
      </c>
      <c r="X76" s="2">
        <v>41444.950231151808</v>
      </c>
      <c r="Y76" s="48"/>
      <c r="Z76" s="4"/>
      <c r="AA76" s="48"/>
    </row>
    <row r="77" spans="1:27" s="61" customFormat="1" x14ac:dyDescent="0.25">
      <c r="A77" s="93"/>
      <c r="B77" s="53">
        <v>2023</v>
      </c>
      <c r="C77" s="2">
        <v>92916.99229363905</v>
      </c>
      <c r="D77" s="64"/>
      <c r="E77" s="64"/>
      <c r="F77" s="64"/>
      <c r="H77" s="94"/>
      <c r="I77" s="53">
        <v>2023</v>
      </c>
      <c r="J77" s="2">
        <v>88419.825173756981</v>
      </c>
      <c r="K77" s="64"/>
      <c r="L77" s="4"/>
      <c r="M77" s="64"/>
      <c r="O77" s="94"/>
      <c r="P77" s="53">
        <v>2023</v>
      </c>
      <c r="Q77" s="2">
        <v>80182.7211054457</v>
      </c>
      <c r="R77" s="64"/>
      <c r="S77" s="4"/>
      <c r="T77" s="64"/>
      <c r="V77" s="94"/>
      <c r="W77" s="53">
        <v>2023</v>
      </c>
      <c r="X77" s="2">
        <v>124644.20390669949</v>
      </c>
      <c r="Y77" s="64"/>
      <c r="Z77" s="4"/>
      <c r="AA77" s="64"/>
    </row>
    <row r="78" spans="1:27" s="61" customFormat="1" x14ac:dyDescent="0.25">
      <c r="A78" s="93"/>
      <c r="B78" s="53">
        <v>2024</v>
      </c>
      <c r="C78" s="2">
        <v>9899.760168110106</v>
      </c>
      <c r="H78" s="94"/>
      <c r="I78" s="53">
        <v>2024</v>
      </c>
      <c r="J78" s="2">
        <v>6563.5111364296108</v>
      </c>
      <c r="L78" s="4"/>
      <c r="O78" s="94"/>
      <c r="P78" s="53">
        <v>2024</v>
      </c>
      <c r="Q78" s="2">
        <v>-14810.307186628052</v>
      </c>
      <c r="S78" s="4"/>
      <c r="V78" s="94"/>
      <c r="W78" s="53">
        <v>2024</v>
      </c>
      <c r="X78" s="2">
        <v>39111.216127469103</v>
      </c>
      <c r="Z78" s="4"/>
    </row>
    <row r="79" spans="1:27" s="61" customFormat="1" x14ac:dyDescent="0.25">
      <c r="A79" s="93"/>
      <c r="B79" s="53">
        <v>2025</v>
      </c>
      <c r="C79" s="2">
        <v>59306.780322415536</v>
      </c>
      <c r="H79" s="94"/>
      <c r="I79" s="53">
        <v>2025</v>
      </c>
      <c r="J79" s="2">
        <v>16361.8044495513</v>
      </c>
      <c r="L79" s="4"/>
      <c r="O79" s="94"/>
      <c r="P79" s="53">
        <v>2025</v>
      </c>
      <c r="Q79" s="2">
        <v>24191.422278981805</v>
      </c>
      <c r="S79" s="4"/>
      <c r="V79" s="94"/>
      <c r="W79" s="53">
        <v>2025</v>
      </c>
      <c r="X79" s="2">
        <v>39111.216127469219</v>
      </c>
      <c r="Z79" s="4"/>
    </row>
    <row r="80" spans="1:27" s="61" customFormat="1" x14ac:dyDescent="0.25">
      <c r="A80" s="93"/>
      <c r="B80" s="53">
        <v>2026</v>
      </c>
      <c r="C80" s="2">
        <v>50405.493790375433</v>
      </c>
      <c r="H80" s="94"/>
      <c r="I80" s="53">
        <v>2026</v>
      </c>
      <c r="J80" s="2">
        <v>16361.804449551073</v>
      </c>
      <c r="L80" s="4"/>
      <c r="O80" s="94"/>
      <c r="P80" s="53">
        <v>2026</v>
      </c>
      <c r="Q80" s="2">
        <v>31521.591996036932</v>
      </c>
      <c r="S80" s="4"/>
      <c r="V80" s="94"/>
      <c r="W80" s="53">
        <v>2026</v>
      </c>
      <c r="X80" s="2">
        <v>39111.216127469103</v>
      </c>
      <c r="Z80" s="4"/>
    </row>
    <row r="81" spans="1:27" s="61" customFormat="1" x14ac:dyDescent="0.25">
      <c r="A81" s="93"/>
      <c r="B81" s="53">
        <v>2027</v>
      </c>
      <c r="C81" s="2">
        <v>50435.62743414077</v>
      </c>
      <c r="H81" s="94"/>
      <c r="I81" s="53">
        <v>2027</v>
      </c>
      <c r="J81" s="2">
        <v>22132.370013628817</v>
      </c>
      <c r="L81" s="4"/>
      <c r="O81" s="94"/>
      <c r="P81" s="53">
        <v>2027</v>
      </c>
      <c r="Q81" s="2">
        <v>31656.610285147734</v>
      </c>
      <c r="S81" s="4"/>
      <c r="V81" s="94"/>
      <c r="W81" s="53">
        <v>2027</v>
      </c>
      <c r="X81" s="2">
        <v>39009.848411512394</v>
      </c>
      <c r="Z81" s="4"/>
    </row>
    <row r="82" spans="1:27" s="61" customFormat="1" x14ac:dyDescent="0.25">
      <c r="A82" s="93"/>
      <c r="B82" s="53">
        <v>2028</v>
      </c>
      <c r="C82" s="2">
        <v>50334.655582910957</v>
      </c>
      <c r="H82" s="94"/>
      <c r="I82" s="53">
        <v>2028</v>
      </c>
      <c r="J82" s="2">
        <v>22132.370013628588</v>
      </c>
      <c r="L82" s="4"/>
      <c r="O82" s="94"/>
      <c r="P82" s="53">
        <v>2028</v>
      </c>
      <c r="Q82" s="2">
        <v>31585.18459045831</v>
      </c>
      <c r="S82" s="4"/>
      <c r="V82" s="94"/>
      <c r="W82" s="53">
        <v>2028</v>
      </c>
      <c r="X82" s="2">
        <v>38233.440637101696</v>
      </c>
      <c r="Z82" s="4"/>
    </row>
    <row r="83" spans="1:27" s="61" customFormat="1" x14ac:dyDescent="0.25">
      <c r="A83" s="93"/>
      <c r="B83" s="53">
        <v>2029</v>
      </c>
      <c r="C83" s="2">
        <v>39034.93866868507</v>
      </c>
      <c r="H83" s="94"/>
      <c r="I83" s="53">
        <v>2029</v>
      </c>
      <c r="J83" s="2">
        <v>21715.100169851896</v>
      </c>
      <c r="L83" s="4"/>
      <c r="O83" s="94"/>
      <c r="P83" s="53">
        <v>2029</v>
      </c>
      <c r="Q83" s="2">
        <v>22480.825790604285</v>
      </c>
      <c r="S83" s="4"/>
      <c r="V83" s="94"/>
      <c r="W83" s="53">
        <v>2029</v>
      </c>
      <c r="X83" s="2">
        <v>21460.429163079425</v>
      </c>
      <c r="Z83" s="4"/>
    </row>
    <row r="84" spans="1:27" s="61" customFormat="1" x14ac:dyDescent="0.25">
      <c r="A84" s="93"/>
      <c r="B84" s="53">
        <v>2030</v>
      </c>
      <c r="C84" s="2">
        <v>18123.379407871198</v>
      </c>
      <c r="H84" s="94"/>
      <c r="I84" s="53">
        <v>2030</v>
      </c>
      <c r="J84" s="2">
        <v>18494.161635298497</v>
      </c>
      <c r="L84" s="4"/>
      <c r="O84" s="94"/>
      <c r="P84" s="53">
        <v>2030</v>
      </c>
      <c r="Q84" s="2">
        <v>20519.124685810537</v>
      </c>
      <c r="S84" s="4"/>
      <c r="V84" s="94"/>
      <c r="W84" s="53">
        <v>2030</v>
      </c>
      <c r="X84" s="2">
        <v>21354.018242052916</v>
      </c>
      <c r="Z84" s="4"/>
    </row>
    <row r="85" spans="1:27" s="61" customFormat="1" x14ac:dyDescent="0.25">
      <c r="A85" s="93"/>
      <c r="B85" s="53">
        <v>2031</v>
      </c>
      <c r="C85" s="2">
        <v>18123.379407871198</v>
      </c>
      <c r="H85" s="94"/>
      <c r="I85" s="53">
        <v>2031</v>
      </c>
      <c r="J85" s="2">
        <v>18494.161635298497</v>
      </c>
      <c r="L85" s="4"/>
      <c r="O85" s="94"/>
      <c r="P85" s="53">
        <v>2031</v>
      </c>
      <c r="Q85" s="2">
        <v>20519.124685810537</v>
      </c>
      <c r="S85" s="4"/>
      <c r="V85" s="94"/>
      <c r="W85" s="53">
        <v>2031</v>
      </c>
      <c r="X85" s="2">
        <v>30841.660465424182</v>
      </c>
      <c r="Z85" s="4"/>
    </row>
    <row r="86" spans="1:27" s="61" customFormat="1" x14ac:dyDescent="0.25">
      <c r="A86" s="93"/>
      <c r="B86" s="53">
        <v>2032</v>
      </c>
      <c r="C86" s="2">
        <v>18134.847663496203</v>
      </c>
      <c r="H86" s="94"/>
      <c r="I86" s="53">
        <v>2032</v>
      </c>
      <c r="J86" s="2">
        <v>20154.019531396669</v>
      </c>
      <c r="L86" s="4"/>
      <c r="O86" s="94"/>
      <c r="P86" s="53">
        <v>2032</v>
      </c>
      <c r="Q86" s="2">
        <v>23105.662846284304</v>
      </c>
      <c r="S86" s="4"/>
      <c r="V86" s="94"/>
      <c r="W86" s="53">
        <v>2032</v>
      </c>
      <c r="X86" s="2">
        <v>18293.052320706465</v>
      </c>
      <c r="Z86" s="4"/>
    </row>
    <row r="87" spans="1:27" s="82" customFormat="1" x14ac:dyDescent="0.25">
      <c r="A87" s="93"/>
      <c r="B87" s="53" t="s">
        <v>73</v>
      </c>
      <c r="C87" s="2">
        <v>56366.804993421967</v>
      </c>
      <c r="H87" s="94"/>
      <c r="I87" s="53" t="s">
        <v>73</v>
      </c>
      <c r="J87" s="2">
        <v>55295.932854706734</v>
      </c>
      <c r="L87" s="4"/>
      <c r="O87" s="94"/>
      <c r="P87" s="53" t="s">
        <v>73</v>
      </c>
      <c r="Q87" s="2">
        <v>58174.576673136246</v>
      </c>
      <c r="S87" s="4"/>
      <c r="V87" s="94"/>
      <c r="W87" s="53" t="s">
        <v>73</v>
      </c>
      <c r="X87" s="2">
        <v>57607.021068159156</v>
      </c>
      <c r="Z87" s="4"/>
    </row>
    <row r="88" spans="1:27" s="61" customFormat="1" x14ac:dyDescent="0.25">
      <c r="A88" s="41"/>
      <c r="B88" s="65"/>
      <c r="C88" s="4"/>
      <c r="D88" s="4"/>
      <c r="E88" s="4"/>
      <c r="H88" s="41"/>
      <c r="I88" s="65"/>
      <c r="J88" s="4"/>
      <c r="K88" s="4"/>
      <c r="L88" s="4"/>
      <c r="O88" s="41"/>
      <c r="P88" s="65"/>
      <c r="Q88" s="4"/>
      <c r="R88" s="4"/>
      <c r="S88" s="4"/>
      <c r="V88" s="41"/>
      <c r="W88" s="65"/>
      <c r="X88" s="4"/>
      <c r="Y88" s="4"/>
      <c r="Z88" s="4"/>
    </row>
    <row r="89" spans="1:27" x14ac:dyDescent="0.25">
      <c r="A89" s="45" t="s">
        <v>25</v>
      </c>
    </row>
    <row r="90" spans="1:27" x14ac:dyDescent="0.25">
      <c r="A90" s="46" t="s">
        <v>9</v>
      </c>
      <c r="B90" s="46"/>
      <c r="C90" s="46"/>
      <c r="D90" s="46"/>
      <c r="E90" s="46"/>
      <c r="F90" s="43"/>
      <c r="H90" s="46" t="s">
        <v>89</v>
      </c>
      <c r="I90" s="46"/>
      <c r="J90" s="46"/>
      <c r="K90" s="46"/>
      <c r="L90" s="46"/>
      <c r="M90" s="43"/>
      <c r="N90" s="44"/>
      <c r="O90" s="46" t="s">
        <v>20</v>
      </c>
      <c r="P90" s="46"/>
      <c r="Q90" s="46"/>
      <c r="R90" s="46"/>
      <c r="S90" s="46"/>
      <c r="T90" s="43"/>
      <c r="V90" s="46" t="s">
        <v>21</v>
      </c>
      <c r="W90" s="46"/>
      <c r="X90" s="46"/>
      <c r="Y90" s="46"/>
      <c r="Z90" s="46"/>
      <c r="AA90" s="43"/>
    </row>
    <row r="91" spans="1:27" x14ac:dyDescent="0.25">
      <c r="A91" s="43" t="s">
        <v>1</v>
      </c>
      <c r="B91" s="46" t="s">
        <v>2</v>
      </c>
      <c r="C91" s="46" t="s">
        <v>22</v>
      </c>
      <c r="D91" s="46" t="s">
        <v>3</v>
      </c>
      <c r="E91" s="46" t="s">
        <v>23</v>
      </c>
      <c r="F91" s="46" t="s">
        <v>24</v>
      </c>
      <c r="H91" s="43" t="s">
        <v>1</v>
      </c>
      <c r="I91" s="46" t="s">
        <v>2</v>
      </c>
      <c r="J91" s="46" t="s">
        <v>22</v>
      </c>
      <c r="K91" s="46" t="s">
        <v>3</v>
      </c>
      <c r="L91" s="46" t="s">
        <v>23</v>
      </c>
      <c r="M91" s="46" t="s">
        <v>24</v>
      </c>
      <c r="N91" s="39"/>
      <c r="O91" s="43" t="s">
        <v>1</v>
      </c>
      <c r="P91" s="46" t="s">
        <v>2</v>
      </c>
      <c r="Q91" s="46" t="s">
        <v>22</v>
      </c>
      <c r="R91" s="46" t="s">
        <v>3</v>
      </c>
      <c r="S91" s="46" t="s">
        <v>23</v>
      </c>
      <c r="T91" s="46" t="s">
        <v>24</v>
      </c>
      <c r="V91" s="43" t="s">
        <v>1</v>
      </c>
      <c r="W91" s="46" t="s">
        <v>2</v>
      </c>
      <c r="X91" s="46" t="s">
        <v>22</v>
      </c>
      <c r="Y91" s="46" t="s">
        <v>3</v>
      </c>
      <c r="Z91" s="46" t="s">
        <v>23</v>
      </c>
      <c r="AA91" s="46" t="s">
        <v>24</v>
      </c>
    </row>
    <row r="92" spans="1:27" x14ac:dyDescent="0.25">
      <c r="A92" s="43">
        <v>2020</v>
      </c>
      <c r="B92" s="78">
        <v>5588.2365947225944</v>
      </c>
      <c r="C92" s="78">
        <v>856.84377385727407</v>
      </c>
      <c r="D92" s="78">
        <v>1042.9401068822547</v>
      </c>
      <c r="E92" s="78">
        <v>0.80771070446247772</v>
      </c>
      <c r="F92" s="78">
        <v>902.19871409520715</v>
      </c>
      <c r="H92" s="43">
        <v>2020</v>
      </c>
      <c r="I92" s="46">
        <v>5282.8734090948465</v>
      </c>
      <c r="J92" s="46">
        <v>1399.6850433365976</v>
      </c>
      <c r="K92" s="46">
        <v>1472.6086058959013</v>
      </c>
      <c r="L92" s="46">
        <v>0.28105676682795405</v>
      </c>
      <c r="M92" s="46">
        <v>1040.7744866838011</v>
      </c>
      <c r="N92" s="39"/>
      <c r="O92" s="43">
        <v>2020</v>
      </c>
      <c r="P92" s="46">
        <v>2100.9545239587292</v>
      </c>
      <c r="Q92" s="46">
        <v>1279.7683908191616</v>
      </c>
      <c r="R92" s="46">
        <v>140.7872079639906</v>
      </c>
      <c r="S92" s="46">
        <v>3.3713098514544599</v>
      </c>
      <c r="T92" s="46">
        <v>1164.8570203805853</v>
      </c>
      <c r="V92" s="43">
        <v>2020</v>
      </c>
      <c r="W92" s="46">
        <v>4228.1197306057438</v>
      </c>
      <c r="X92" s="46">
        <v>1072.2727608981077</v>
      </c>
      <c r="Y92" s="46">
        <v>178.81276939745291</v>
      </c>
      <c r="Z92" s="46">
        <v>47.028939286043169</v>
      </c>
      <c r="AA92" s="46">
        <v>705.61116633150959</v>
      </c>
    </row>
    <row r="93" spans="1:27" x14ac:dyDescent="0.25">
      <c r="A93" s="43">
        <v>2021</v>
      </c>
      <c r="B93" s="78">
        <v>-1165.6099263604895</v>
      </c>
      <c r="C93" s="78">
        <v>-1446.8153264922207</v>
      </c>
      <c r="D93" s="78">
        <v>420.20490010101855</v>
      </c>
      <c r="E93" s="78">
        <v>-1.5606557789185374</v>
      </c>
      <c r="F93" s="78">
        <v>343.56326859968215</v>
      </c>
      <c r="H93" s="43">
        <v>2021</v>
      </c>
      <c r="I93" s="53">
        <v>-1294.7213165733724</v>
      </c>
      <c r="J93" s="53">
        <v>-876.77896635134982</v>
      </c>
      <c r="K93" s="53">
        <v>469.70065289052218</v>
      </c>
      <c r="L93" s="53">
        <v>0.40716890315521403</v>
      </c>
      <c r="M93" s="53">
        <v>358.61685773759604</v>
      </c>
      <c r="N93" s="44"/>
      <c r="O93" s="43">
        <v>2021</v>
      </c>
      <c r="P93" s="53">
        <v>-2512.7823497543286</v>
      </c>
      <c r="Q93" s="53">
        <v>-880.71107557983714</v>
      </c>
      <c r="R93" s="53">
        <v>-224.41035830232258</v>
      </c>
      <c r="S93" s="53">
        <v>16.407444633934269</v>
      </c>
      <c r="T93" s="53">
        <v>322.60609973796164</v>
      </c>
      <c r="V93" s="43">
        <v>2021</v>
      </c>
      <c r="W93" s="53">
        <v>-2646.7978250033457</v>
      </c>
      <c r="X93" s="53">
        <v>-899.84887118653728</v>
      </c>
      <c r="Y93" s="53">
        <v>-962.4099156791923</v>
      </c>
      <c r="Z93" s="53">
        <v>-32.003638537445731</v>
      </c>
      <c r="AA93" s="53">
        <v>-418.24021192246045</v>
      </c>
    </row>
    <row r="94" spans="1:27" x14ac:dyDescent="0.25">
      <c r="A94" s="43">
        <v>2022</v>
      </c>
      <c r="B94" s="79">
        <v>-5191.1781137925518</v>
      </c>
      <c r="C94" s="79">
        <v>-1883.5905960349596</v>
      </c>
      <c r="D94" s="79">
        <v>-1256.2688973386348</v>
      </c>
      <c r="E94" s="79">
        <v>1.2559687228241037</v>
      </c>
      <c r="F94" s="79">
        <v>-342.59074890883375</v>
      </c>
      <c r="H94" s="43">
        <v>2022</v>
      </c>
      <c r="I94" s="53">
        <v>-5176.3372157549975</v>
      </c>
      <c r="J94" s="53">
        <v>-2014.3227030823396</v>
      </c>
      <c r="K94" s="53">
        <v>-1893.375461200827</v>
      </c>
      <c r="L94" s="53">
        <v>4.4510412485057698</v>
      </c>
      <c r="M94" s="53">
        <v>-293.0333107647881</v>
      </c>
      <c r="N94" s="39"/>
      <c r="O94" s="43">
        <v>2022</v>
      </c>
      <c r="P94" s="53">
        <v>-5520.4979446112511</v>
      </c>
      <c r="Q94" s="53">
        <v>-1774.8513473232601</v>
      </c>
      <c r="R94" s="53">
        <v>-238.93715498686981</v>
      </c>
      <c r="S94" s="53">
        <v>-5.8767601296854846</v>
      </c>
      <c r="T94" s="53">
        <v>543.73528218152751</v>
      </c>
      <c r="V94" s="43">
        <v>2022</v>
      </c>
      <c r="W94" s="53">
        <v>-7240.4878727034129</v>
      </c>
      <c r="X94" s="53">
        <v>-2884.0427881360024</v>
      </c>
      <c r="Y94" s="53">
        <v>-17296.930770638948</v>
      </c>
      <c r="Z94" s="53">
        <v>867.59506272112208</v>
      </c>
      <c r="AA94" s="53">
        <v>-2201.2236589193435</v>
      </c>
    </row>
    <row r="95" spans="1:27" x14ac:dyDescent="0.25">
      <c r="A95" s="43">
        <v>2023</v>
      </c>
      <c r="B95" s="78">
        <v>-16588.856032341035</v>
      </c>
      <c r="C95" s="78">
        <v>-16609.606141312237</v>
      </c>
      <c r="D95" s="78">
        <v>-10635.021365088553</v>
      </c>
      <c r="E95" s="78">
        <v>2.2611890572022459</v>
      </c>
      <c r="F95" s="78">
        <v>-6268.1039572616155</v>
      </c>
      <c r="H95" s="43">
        <v>2023</v>
      </c>
      <c r="I95" s="53">
        <v>-16609.845601951543</v>
      </c>
      <c r="J95" s="53">
        <v>-13129.970500608293</v>
      </c>
      <c r="K95" s="53">
        <v>-5823.7493087428047</v>
      </c>
      <c r="L95" s="53">
        <v>1.3580206768913345</v>
      </c>
      <c r="M95" s="53">
        <v>-7857.0636453853031</v>
      </c>
      <c r="N95" s="39"/>
      <c r="O95" s="43">
        <v>2023</v>
      </c>
      <c r="P95" s="53">
        <v>3799.3007822710174</v>
      </c>
      <c r="Q95" s="53">
        <v>-1580.1934810790488</v>
      </c>
      <c r="R95" s="53">
        <v>-923.04750259094544</v>
      </c>
      <c r="S95" s="53">
        <v>-16.124476192645144</v>
      </c>
      <c r="T95" s="53">
        <v>-7096.5803242868324</v>
      </c>
      <c r="V95" s="43">
        <v>2023</v>
      </c>
      <c r="W95" s="53">
        <v>-29527.134880267084</v>
      </c>
      <c r="X95" s="53">
        <v>-11555.694698353685</v>
      </c>
      <c r="Y95" s="53">
        <v>-34082.234835764779</v>
      </c>
      <c r="Z95" s="53">
        <v>-32845.464805381358</v>
      </c>
      <c r="AA95" s="53">
        <v>-12657.707874517357</v>
      </c>
    </row>
    <row r="96" spans="1:27" x14ac:dyDescent="0.25">
      <c r="A96" s="43">
        <v>2024</v>
      </c>
      <c r="B96" s="79">
        <v>4664.2625265858151</v>
      </c>
      <c r="C96" s="79">
        <v>2329.5542574790688</v>
      </c>
      <c r="D96" s="79">
        <v>-26.911657096844532</v>
      </c>
      <c r="E96" s="79">
        <v>22.344433839781278</v>
      </c>
      <c r="F96" s="79">
        <v>96.550984456515138</v>
      </c>
      <c r="H96" s="43">
        <v>2024</v>
      </c>
      <c r="I96" s="53">
        <v>5504.3277464054063</v>
      </c>
      <c r="J96" s="53">
        <v>3514.3105370166736</v>
      </c>
      <c r="K96" s="53">
        <v>317.75769022276398</v>
      </c>
      <c r="L96" s="53">
        <v>1.3904601596673776</v>
      </c>
      <c r="M96" s="53">
        <v>43.580370441944758</v>
      </c>
      <c r="N96" s="39"/>
      <c r="O96" s="43">
        <v>2024</v>
      </c>
      <c r="P96" s="53">
        <v>13947.916886433557</v>
      </c>
      <c r="Q96" s="53">
        <v>2013.9732574654784</v>
      </c>
      <c r="R96" s="53">
        <v>26.058892941118959</v>
      </c>
      <c r="S96" s="53">
        <v>-16.936382138807982</v>
      </c>
      <c r="T96" s="53">
        <v>1087.2082298718133</v>
      </c>
      <c r="V96" s="43">
        <v>2024</v>
      </c>
      <c r="W96" s="53">
        <v>-5862.6608781231225</v>
      </c>
      <c r="X96" s="53">
        <v>-2671.5595795609474</v>
      </c>
      <c r="Y96" s="53">
        <v>-7355.4672438869566</v>
      </c>
      <c r="Z96" s="53">
        <v>385.31920834875939</v>
      </c>
      <c r="AA96" s="53">
        <v>-1218.9178080458016</v>
      </c>
    </row>
    <row r="97" spans="1:27" x14ac:dyDescent="0.25">
      <c r="A97" s="43">
        <v>2025</v>
      </c>
      <c r="B97" s="78">
        <v>-7864.2707646357003</v>
      </c>
      <c r="C97" s="78">
        <v>-6415.706517206866</v>
      </c>
      <c r="D97" s="78">
        <v>-1976.1642846913849</v>
      </c>
      <c r="E97" s="78">
        <v>-4.5897393537819804</v>
      </c>
      <c r="F97" s="78">
        <v>-1977.5985310397334</v>
      </c>
      <c r="H97" s="43">
        <v>2025</v>
      </c>
      <c r="I97" s="53">
        <v>7334.6028820508573</v>
      </c>
      <c r="J97" s="53">
        <v>3049.9039911266891</v>
      </c>
      <c r="K97" s="53">
        <v>225.22278716402465</v>
      </c>
      <c r="L97" s="53">
        <v>0.5330307550407668</v>
      </c>
      <c r="M97" s="53">
        <v>-361.85323003363288</v>
      </c>
      <c r="N97" s="39"/>
      <c r="O97" s="43">
        <v>2025</v>
      </c>
      <c r="P97" s="53">
        <v>5195.7375582664145</v>
      </c>
      <c r="Q97" s="53">
        <v>1847.702325939734</v>
      </c>
      <c r="R97" s="53">
        <v>115.56691683785972</v>
      </c>
      <c r="S97" s="53">
        <v>-348.55742902849863</v>
      </c>
      <c r="T97" s="53">
        <v>-835.26202362974936</v>
      </c>
      <c r="V97" s="43">
        <v>2025</v>
      </c>
      <c r="W97" s="53">
        <v>-6367.5074797351626</v>
      </c>
      <c r="X97" s="53">
        <v>-10695.884602484721</v>
      </c>
      <c r="Y97" s="53">
        <v>-1476.5399691165064</v>
      </c>
      <c r="Z97" s="53">
        <v>-1389.1139283991424</v>
      </c>
      <c r="AA97" s="53">
        <v>-3186.2420158251766</v>
      </c>
    </row>
    <row r="98" spans="1:27" x14ac:dyDescent="0.25">
      <c r="A98" s="43">
        <v>2026</v>
      </c>
      <c r="B98" s="79">
        <v>-3152.7977218891028</v>
      </c>
      <c r="C98" s="79">
        <v>-3341.6399044315331</v>
      </c>
      <c r="D98" s="79">
        <v>-1756.5430861980203</v>
      </c>
      <c r="E98" s="79">
        <v>14.165931085313787</v>
      </c>
      <c r="F98" s="79">
        <v>-1745.8297153012827</v>
      </c>
      <c r="H98" s="43">
        <v>2026</v>
      </c>
      <c r="I98" s="53">
        <v>6698.4695036250632</v>
      </c>
      <c r="J98" s="53">
        <v>3273.66870346223</v>
      </c>
      <c r="K98" s="53">
        <v>678.46204805399611</v>
      </c>
      <c r="L98" s="53">
        <v>4.9340827025589533</v>
      </c>
      <c r="M98" s="53">
        <v>-594.5372853311128</v>
      </c>
      <c r="N98" s="39"/>
      <c r="O98" s="43">
        <v>2026</v>
      </c>
      <c r="P98" s="53">
        <v>940.63387188187335</v>
      </c>
      <c r="Q98" s="53">
        <v>679.50954143609852</v>
      </c>
      <c r="R98" s="53">
        <v>-4.0546267976606032</v>
      </c>
      <c r="S98" s="53">
        <v>8.2074808882607613</v>
      </c>
      <c r="T98" s="53">
        <v>-158.74981147173094</v>
      </c>
      <c r="V98" s="43">
        <v>2026</v>
      </c>
      <c r="W98" s="53">
        <v>1363.4204475395381</v>
      </c>
      <c r="X98" s="53">
        <v>291.8414082522504</v>
      </c>
      <c r="Y98" s="53">
        <v>-2176.4693444962322</v>
      </c>
      <c r="Z98" s="53">
        <v>-902.75922032853123</v>
      </c>
      <c r="AA98" s="53">
        <v>-6951.6289221269544</v>
      </c>
    </row>
    <row r="99" spans="1:27" x14ac:dyDescent="0.25">
      <c r="A99" s="43">
        <v>2027</v>
      </c>
      <c r="B99" s="78">
        <v>-2822.3600638334174</v>
      </c>
      <c r="C99" s="78">
        <v>-2921.2491074979771</v>
      </c>
      <c r="D99" s="78">
        <v>700.19252679378405</v>
      </c>
      <c r="E99" s="78">
        <v>-5.5508778608345892</v>
      </c>
      <c r="F99" s="78">
        <v>-1960.2778691728017</v>
      </c>
      <c r="H99" s="43">
        <v>2027</v>
      </c>
      <c r="I99" s="53">
        <v>6262.4634378978517</v>
      </c>
      <c r="J99" s="53">
        <v>1300.8511199848726</v>
      </c>
      <c r="K99" s="53">
        <v>-493.40763594345117</v>
      </c>
      <c r="L99" s="53">
        <v>-10.138858532489394</v>
      </c>
      <c r="M99" s="53">
        <v>-635.47976264107274</v>
      </c>
      <c r="N99" s="39"/>
      <c r="O99" s="43">
        <v>2027</v>
      </c>
      <c r="P99" s="53">
        <v>1329.6136069569038</v>
      </c>
      <c r="Q99" s="53">
        <v>944.75328177178744</v>
      </c>
      <c r="R99" s="53">
        <v>251.17823797100937</v>
      </c>
      <c r="S99" s="53">
        <v>-9.0350013346396736</v>
      </c>
      <c r="T99" s="53">
        <v>-418.59144364867825</v>
      </c>
      <c r="V99" s="43">
        <v>2027</v>
      </c>
      <c r="W99" s="53">
        <v>-3258.1758838209789</v>
      </c>
      <c r="X99" s="53">
        <v>-185.50572288688272</v>
      </c>
      <c r="Y99" s="53">
        <v>-2184.0616040310415</v>
      </c>
      <c r="Z99" s="53">
        <v>1508.1150072244927</v>
      </c>
      <c r="AA99" s="53">
        <v>-3287.1493436131277</v>
      </c>
    </row>
    <row r="100" spans="1:27" x14ac:dyDescent="0.25">
      <c r="A100" s="43">
        <v>2028</v>
      </c>
      <c r="B100" s="79">
        <v>-2251.7245710925199</v>
      </c>
      <c r="C100" s="79">
        <v>-4566.842984945979</v>
      </c>
      <c r="D100" s="79">
        <v>-149.22448089810496</v>
      </c>
      <c r="E100" s="79">
        <v>0.15662407234776765</v>
      </c>
      <c r="F100" s="79">
        <v>-2316.5768514631782</v>
      </c>
      <c r="H100" s="43">
        <v>2028</v>
      </c>
      <c r="I100" s="53">
        <v>7252.1020892970264</v>
      </c>
      <c r="J100" s="53">
        <v>983.33165946044028</v>
      </c>
      <c r="K100" s="53">
        <v>-420.10269893189979</v>
      </c>
      <c r="L100" s="53">
        <v>62.746824482273951</v>
      </c>
      <c r="M100" s="53">
        <v>-1586.730859544652</v>
      </c>
      <c r="N100" s="39"/>
      <c r="O100" s="43">
        <v>2028</v>
      </c>
      <c r="P100" s="53">
        <v>222.84676013770513</v>
      </c>
      <c r="Q100" s="53">
        <v>1452.2680754135363</v>
      </c>
      <c r="R100" s="53">
        <v>300.72467056762434</v>
      </c>
      <c r="S100" s="53">
        <v>-4.0715024203891517</v>
      </c>
      <c r="T100" s="53">
        <v>-158.0862088946742</v>
      </c>
      <c r="V100" s="43">
        <v>2028</v>
      </c>
      <c r="W100" s="53">
        <v>-115.20353890093975</v>
      </c>
      <c r="X100" s="53">
        <v>-502.67490913509391</v>
      </c>
      <c r="Y100" s="53">
        <v>298.35900407435838</v>
      </c>
      <c r="Z100" s="53">
        <v>-836.99210215642233</v>
      </c>
      <c r="AA100" s="53">
        <v>-3332.1516770243179</v>
      </c>
    </row>
    <row r="101" spans="1:27" x14ac:dyDescent="0.25">
      <c r="A101" s="43">
        <v>2029</v>
      </c>
      <c r="B101" s="78">
        <v>3994.8945499511901</v>
      </c>
      <c r="C101" s="78">
        <v>2191.7574780962896</v>
      </c>
      <c r="D101" s="78">
        <v>-328.76913678855635</v>
      </c>
      <c r="E101" s="78">
        <v>-1.6340266613624408</v>
      </c>
      <c r="F101" s="78">
        <v>-2706.7549768993049</v>
      </c>
      <c r="H101" s="43">
        <v>2029</v>
      </c>
      <c r="I101" s="53">
        <v>9527.4286788485479</v>
      </c>
      <c r="J101" s="53">
        <v>234.8847976073157</v>
      </c>
      <c r="K101" s="53">
        <v>480.53332570304337</v>
      </c>
      <c r="L101" s="53">
        <v>-3.9281699185448815</v>
      </c>
      <c r="M101" s="53">
        <v>-1677.277138286212</v>
      </c>
      <c r="N101" s="39"/>
      <c r="O101" s="43">
        <v>2029</v>
      </c>
      <c r="P101" s="53">
        <v>3502.9197812202619</v>
      </c>
      <c r="Q101" s="53">
        <v>2274.0183570132358</v>
      </c>
      <c r="R101" s="53">
        <v>57.504684635361627</v>
      </c>
      <c r="S101" s="53">
        <v>0.12931253218266647</v>
      </c>
      <c r="T101" s="53">
        <v>637.14718812401406</v>
      </c>
      <c r="V101" s="43">
        <v>2029</v>
      </c>
      <c r="W101" s="53">
        <v>11372.391398595646</v>
      </c>
      <c r="X101" s="53">
        <v>2343.3548142372165</v>
      </c>
      <c r="Y101" s="53">
        <v>7012.6849057049258</v>
      </c>
      <c r="Z101" s="53">
        <v>7759.5656514298462</v>
      </c>
      <c r="AA101" s="53">
        <v>8180.2779933079146</v>
      </c>
    </row>
    <row r="102" spans="1:27" x14ac:dyDescent="0.25">
      <c r="A102" s="43">
        <v>2030</v>
      </c>
      <c r="B102" s="79">
        <v>6312.143952870043</v>
      </c>
      <c r="C102" s="79">
        <v>1842.1728379875422</v>
      </c>
      <c r="D102" s="79">
        <v>-455.37565319234272</v>
      </c>
      <c r="E102" s="79">
        <v>-7.9772374411040801</v>
      </c>
      <c r="F102" s="79">
        <v>-938.02123122493504</v>
      </c>
      <c r="H102" s="43">
        <v>2030</v>
      </c>
      <c r="I102" s="53">
        <v>6971.4004970937967</v>
      </c>
      <c r="J102" s="53">
        <v>1843.4442692475859</v>
      </c>
      <c r="K102" s="53">
        <v>-131.61732086224947</v>
      </c>
      <c r="L102" s="53">
        <v>2.1274386491204496</v>
      </c>
      <c r="M102" s="53">
        <v>-725.00085633335402</v>
      </c>
      <c r="N102" s="39"/>
      <c r="O102" s="43">
        <v>2030</v>
      </c>
      <c r="P102" s="53">
        <v>3442.9210676479852</v>
      </c>
      <c r="Q102" s="53">
        <v>2088.4657833839301</v>
      </c>
      <c r="R102" s="53">
        <v>219.73624201747589</v>
      </c>
      <c r="S102" s="53">
        <v>13.8670830481351</v>
      </c>
      <c r="T102" s="53">
        <v>497.69860506430268</v>
      </c>
      <c r="V102" s="43">
        <v>2030</v>
      </c>
      <c r="W102" s="53">
        <v>20251.283860888332</v>
      </c>
      <c r="X102" s="53">
        <v>2927.6727316060569</v>
      </c>
      <c r="Y102" s="53">
        <v>4005.7038719516713</v>
      </c>
      <c r="Z102" s="53">
        <v>6252.224739217374</v>
      </c>
      <c r="AA102" s="53">
        <v>-825.03425469680224</v>
      </c>
    </row>
    <row r="103" spans="1:27" x14ac:dyDescent="0.25">
      <c r="A103" s="43">
        <v>2031</v>
      </c>
      <c r="B103" s="78">
        <v>6335.606786230579</v>
      </c>
      <c r="C103" s="78">
        <v>3676.0878279756289</v>
      </c>
      <c r="D103" s="78">
        <v>438.48618895528489</v>
      </c>
      <c r="E103" s="78">
        <v>14.660636923646962</v>
      </c>
      <c r="F103" s="78">
        <v>-1786.935134361207</v>
      </c>
      <c r="H103" s="43">
        <v>2031</v>
      </c>
      <c r="I103" s="53">
        <v>9725.3460389571264</v>
      </c>
      <c r="J103" s="53">
        <v>2012.5196144839283</v>
      </c>
      <c r="K103" s="53">
        <v>831.00486791906587</v>
      </c>
      <c r="L103" s="53">
        <v>-5.6897871200781083</v>
      </c>
      <c r="M103" s="53">
        <v>-1654.2319952545222</v>
      </c>
      <c r="N103" s="39"/>
      <c r="O103" s="43">
        <v>2031</v>
      </c>
      <c r="P103" s="53">
        <v>2931.1602821575943</v>
      </c>
      <c r="Q103" s="53">
        <v>229.27661824226379</v>
      </c>
      <c r="R103" s="53">
        <v>195.38188108657414</v>
      </c>
      <c r="S103" s="53">
        <v>27.833569702372188</v>
      </c>
      <c r="T103" s="53">
        <v>733.81871093146037</v>
      </c>
      <c r="V103" s="43">
        <v>2031</v>
      </c>
      <c r="W103" s="53">
        <v>3624.3345478726551</v>
      </c>
      <c r="X103" s="53">
        <v>4175.4296823076438</v>
      </c>
      <c r="Y103" s="53">
        <v>461.39934147405438</v>
      </c>
      <c r="Z103" s="53">
        <v>3177.1971719483263</v>
      </c>
      <c r="AA103" s="53">
        <v>-2619.381729416782</v>
      </c>
    </row>
    <row r="104" spans="1:27" x14ac:dyDescent="0.25">
      <c r="A104" s="43">
        <v>2032</v>
      </c>
      <c r="B104" s="79">
        <v>8825.5350429702085</v>
      </c>
      <c r="C104" s="79">
        <v>3896.4442148450762</v>
      </c>
      <c r="D104" s="79">
        <v>291.95800673987833</v>
      </c>
      <c r="E104" s="79">
        <v>-3.2884617922100006</v>
      </c>
      <c r="F104" s="79">
        <v>-3265.2649328550324</v>
      </c>
      <c r="H104" s="43">
        <v>2032</v>
      </c>
      <c r="I104" s="53">
        <v>8296.9417866647709</v>
      </c>
      <c r="J104" s="53">
        <v>2404.0633165268227</v>
      </c>
      <c r="K104" s="53">
        <v>974.41996944711718</v>
      </c>
      <c r="L104" s="53">
        <v>-0.62501241139398189</v>
      </c>
      <c r="M104" s="53">
        <v>-3017.7296340932953</v>
      </c>
      <c r="N104" s="39"/>
      <c r="O104" s="43">
        <v>2032</v>
      </c>
      <c r="P104" s="53">
        <v>2291.0365643472178</v>
      </c>
      <c r="Q104" s="53">
        <v>1549.1570839209016</v>
      </c>
      <c r="R104" s="53">
        <v>510.98661471839659</v>
      </c>
      <c r="S104" s="53">
        <v>21.455557687491819</v>
      </c>
      <c r="T104" s="53">
        <v>470.93871283729095</v>
      </c>
      <c r="V104" s="43">
        <v>2032</v>
      </c>
      <c r="W104" s="53">
        <v>12674.16943895258</v>
      </c>
      <c r="X104" s="53">
        <v>4801.4997757694218</v>
      </c>
      <c r="Y104" s="53">
        <v>3262.7169024113682</v>
      </c>
      <c r="Z104" s="53">
        <v>7695.0567663692054</v>
      </c>
      <c r="AA104" s="53">
        <v>3644.7251047638711</v>
      </c>
    </row>
    <row r="105" spans="1:27" x14ac:dyDescent="0.25">
      <c r="A105" s="43" t="s">
        <v>45</v>
      </c>
      <c r="B105" s="78">
        <f>AVERAGE(B102:B104)</f>
        <v>7157.7619273569435</v>
      </c>
      <c r="C105" s="78">
        <f>AVERAGE(C102:C104)</f>
        <v>3138.2349602694158</v>
      </c>
      <c r="D105" s="78">
        <f>AVERAGE(D102:D104)</f>
        <v>91.689514167606831</v>
      </c>
      <c r="E105" s="78">
        <f>AVERAGE(E102:E104)</f>
        <v>1.1316458967776271</v>
      </c>
      <c r="F105" s="78">
        <f>AVERAGE(F102:F104)</f>
        <v>-1996.7404328137247</v>
      </c>
      <c r="H105" s="53" t="s">
        <v>45</v>
      </c>
      <c r="I105" s="46">
        <f>AVERAGE(I102:I104)</f>
        <v>8331.229440905232</v>
      </c>
      <c r="J105" s="46">
        <f>AVERAGE(J102:J104)</f>
        <v>2086.6757334194458</v>
      </c>
      <c r="K105" s="46">
        <f>AVERAGE(K102:K104)</f>
        <v>557.93583883464453</v>
      </c>
      <c r="L105" s="46">
        <f>AVERAGE(L102:L104)</f>
        <v>-1.3957869607838802</v>
      </c>
      <c r="M105" s="46">
        <f>AVERAGE(M102:M104)</f>
        <v>-1798.9874952270573</v>
      </c>
      <c r="N105" s="39"/>
      <c r="O105" s="53" t="s">
        <v>45</v>
      </c>
      <c r="P105" s="46">
        <f>AVERAGE(P102:P104)</f>
        <v>2888.3726380509324</v>
      </c>
      <c r="Q105" s="46">
        <f>AVERAGE(Q102:Q104)</f>
        <v>1288.9664951823652</v>
      </c>
      <c r="R105" s="46">
        <f>AVERAGE(R102:R104)</f>
        <v>308.70157927414886</v>
      </c>
      <c r="S105" s="46">
        <f>AVERAGE(S102:S104)</f>
        <v>21.052070145999703</v>
      </c>
      <c r="T105" s="46">
        <f>AVERAGE(T102:T104)</f>
        <v>567.48534294435137</v>
      </c>
      <c r="V105" s="53" t="s">
        <v>45</v>
      </c>
      <c r="W105" s="46">
        <f>AVERAGE(W102:W104)</f>
        <v>12183.262615904523</v>
      </c>
      <c r="X105" s="46">
        <f>AVERAGE(X102:X104)</f>
        <v>3968.200729894374</v>
      </c>
      <c r="Y105" s="46">
        <f>AVERAGE(Y102:Y104)</f>
        <v>2576.6067052790313</v>
      </c>
      <c r="Z105" s="46">
        <f>AVERAGE(Z102:Z104)</f>
        <v>5708.1595591783016</v>
      </c>
      <c r="AA105" s="46">
        <f>AVERAGE(AA102:AA104)</f>
        <v>66.769706883428924</v>
      </c>
    </row>
    <row r="106" spans="1:27" x14ac:dyDescent="0.25">
      <c r="B106" s="78"/>
      <c r="C106" s="78"/>
      <c r="D106" s="78"/>
      <c r="E106" s="78"/>
      <c r="F106" s="78"/>
    </row>
    <row r="107" spans="1:27" s="82" customFormat="1" x14ac:dyDescent="0.25">
      <c r="A107" s="62" t="s">
        <v>72</v>
      </c>
    </row>
    <row r="108" spans="1:27" s="82" customFormat="1" x14ac:dyDescent="0.25">
      <c r="A108" s="46" t="s">
        <v>9</v>
      </c>
      <c r="B108" s="46"/>
      <c r="C108" s="46"/>
      <c r="D108" s="46"/>
      <c r="E108" s="46"/>
      <c r="F108" s="53"/>
      <c r="H108" s="46" t="s">
        <v>89</v>
      </c>
      <c r="I108" s="46"/>
      <c r="J108" s="46"/>
      <c r="K108" s="46"/>
      <c r="L108" s="46"/>
      <c r="M108" s="53"/>
      <c r="N108" s="65"/>
      <c r="O108" s="46" t="s">
        <v>20</v>
      </c>
      <c r="P108" s="46"/>
      <c r="Q108" s="46"/>
      <c r="R108" s="46"/>
      <c r="S108" s="46"/>
      <c r="T108" s="53"/>
      <c r="V108" s="46" t="s">
        <v>21</v>
      </c>
      <c r="W108" s="46"/>
      <c r="X108" s="46"/>
      <c r="Y108" s="46"/>
      <c r="Z108" s="46"/>
      <c r="AA108" s="53"/>
    </row>
    <row r="109" spans="1:27" s="82" customFormat="1" x14ac:dyDescent="0.25">
      <c r="A109" s="53" t="s">
        <v>1</v>
      </c>
      <c r="B109" s="46" t="s">
        <v>2</v>
      </c>
      <c r="C109" s="46" t="s">
        <v>22</v>
      </c>
      <c r="D109" s="46" t="s">
        <v>3</v>
      </c>
      <c r="E109" s="46" t="s">
        <v>23</v>
      </c>
      <c r="F109" s="46" t="s">
        <v>24</v>
      </c>
      <c r="H109" s="53" t="s">
        <v>1</v>
      </c>
      <c r="I109" s="46" t="s">
        <v>2</v>
      </c>
      <c r="J109" s="46" t="s">
        <v>22</v>
      </c>
      <c r="K109" s="46" t="s">
        <v>3</v>
      </c>
      <c r="L109" s="46" t="s">
        <v>23</v>
      </c>
      <c r="M109" s="46" t="s">
        <v>24</v>
      </c>
      <c r="N109" s="39"/>
      <c r="O109" s="53" t="s">
        <v>1</v>
      </c>
      <c r="P109" s="46" t="s">
        <v>2</v>
      </c>
      <c r="Q109" s="46" t="s">
        <v>22</v>
      </c>
      <c r="R109" s="46" t="s">
        <v>3</v>
      </c>
      <c r="S109" s="46" t="s">
        <v>23</v>
      </c>
      <c r="T109" s="46" t="s">
        <v>24</v>
      </c>
      <c r="V109" s="53" t="s">
        <v>1</v>
      </c>
      <c r="W109" s="46" t="s">
        <v>2</v>
      </c>
      <c r="X109" s="46" t="s">
        <v>22</v>
      </c>
      <c r="Y109" s="46" t="s">
        <v>3</v>
      </c>
      <c r="Z109" s="46" t="s">
        <v>23</v>
      </c>
      <c r="AA109" s="46" t="s">
        <v>24</v>
      </c>
    </row>
    <row r="110" spans="1:27" s="82" customFormat="1" x14ac:dyDescent="0.25">
      <c r="A110" s="53">
        <v>2020</v>
      </c>
      <c r="B110" s="78">
        <v>1119.6908841859549</v>
      </c>
      <c r="C110" s="78">
        <v>352.35947636188939</v>
      </c>
      <c r="D110" s="78">
        <v>1348.4820621891413</v>
      </c>
      <c r="E110" s="78">
        <v>-0.2777250303333858</v>
      </c>
      <c r="F110" s="78">
        <v>159.64168646477628</v>
      </c>
      <c r="H110" s="53">
        <v>2020</v>
      </c>
      <c r="I110" s="78">
        <v>1275.7152549205348</v>
      </c>
      <c r="J110" s="78">
        <v>320.05663400120102</v>
      </c>
      <c r="K110" s="78">
        <v>1149.6347135884571</v>
      </c>
      <c r="L110" s="78">
        <v>-0.75570172623702092</v>
      </c>
      <c r="M110" s="78">
        <v>142.88983100175392</v>
      </c>
      <c r="N110" s="39"/>
      <c r="O110" s="53">
        <v>2020</v>
      </c>
      <c r="P110" s="78">
        <v>-318.94110313523561</v>
      </c>
      <c r="Q110" s="78">
        <v>426.32644715590868</v>
      </c>
      <c r="R110" s="78">
        <v>40.249793474096805</v>
      </c>
      <c r="S110" s="78">
        <v>1.4279379855943262</v>
      </c>
      <c r="T110" s="78">
        <v>25.170960463641677</v>
      </c>
      <c r="V110" s="53">
        <v>2020</v>
      </c>
      <c r="W110" s="78">
        <v>0</v>
      </c>
      <c r="X110" s="78">
        <v>0</v>
      </c>
      <c r="Y110" s="78">
        <v>0</v>
      </c>
      <c r="Z110" s="78">
        <v>0</v>
      </c>
      <c r="AA110" s="78">
        <v>0</v>
      </c>
    </row>
    <row r="111" spans="1:27" s="82" customFormat="1" x14ac:dyDescent="0.25">
      <c r="A111" s="53">
        <v>2021</v>
      </c>
      <c r="B111" s="78">
        <v>-4697.9118567632977</v>
      </c>
      <c r="C111" s="78">
        <v>-2413.4491809026804</v>
      </c>
      <c r="D111" s="78">
        <v>307.18736780242762</v>
      </c>
      <c r="E111" s="78">
        <v>-0.63865446158888517</v>
      </c>
      <c r="F111" s="78">
        <v>-580.59811187116429</v>
      </c>
      <c r="H111" s="53">
        <v>2021</v>
      </c>
      <c r="I111" s="78">
        <v>-4607.5958821401</v>
      </c>
      <c r="J111" s="78">
        <v>-2286.419331653975</v>
      </c>
      <c r="K111" s="78">
        <v>208.08911336550955</v>
      </c>
      <c r="L111" s="78">
        <v>-1.1729453673833632</v>
      </c>
      <c r="M111" s="78">
        <v>-585.12435606238432</v>
      </c>
      <c r="N111" s="65"/>
      <c r="O111" s="53">
        <v>2021</v>
      </c>
      <c r="P111" s="78">
        <v>-4457.8370028800564</v>
      </c>
      <c r="Q111" s="78">
        <v>-1645.5187297061784</v>
      </c>
      <c r="R111" s="78">
        <v>-234.28000356646953</v>
      </c>
      <c r="S111" s="78">
        <v>-1.1960972944507375</v>
      </c>
      <c r="T111" s="78">
        <v>-864.49860857770545</v>
      </c>
      <c r="V111" s="53">
        <v>2021</v>
      </c>
      <c r="W111" s="78">
        <v>-5788.4898972371593</v>
      </c>
      <c r="X111" s="78">
        <v>-2572.5425907250028</v>
      </c>
      <c r="Y111" s="78">
        <v>-1197.8682017527753</v>
      </c>
      <c r="Z111" s="78">
        <v>-62.92078377501457</v>
      </c>
      <c r="AA111" s="78">
        <v>-1131.4629547726945</v>
      </c>
    </row>
    <row r="112" spans="1:27" s="82" customFormat="1" x14ac:dyDescent="0.25">
      <c r="A112" s="53">
        <v>2022</v>
      </c>
      <c r="B112" s="79">
        <v>-7896.7159959292039</v>
      </c>
      <c r="C112" s="79">
        <v>-4445.5422454096843</v>
      </c>
      <c r="D112" s="79">
        <v>-1825.4309742984478</v>
      </c>
      <c r="E112" s="79">
        <v>2.5681636909794179</v>
      </c>
      <c r="F112" s="79">
        <v>-1313.8005967481877</v>
      </c>
      <c r="H112" s="53">
        <v>2022</v>
      </c>
      <c r="I112" s="79">
        <v>-8467.0514773093164</v>
      </c>
      <c r="J112" s="79">
        <v>-3912.7922241205815</v>
      </c>
      <c r="K112" s="79">
        <v>-1899.6191466274322</v>
      </c>
      <c r="L112" s="79">
        <v>1.664332612133876</v>
      </c>
      <c r="M112" s="79">
        <v>-1046.7711190784466</v>
      </c>
      <c r="N112" s="39"/>
      <c r="O112" s="53">
        <v>2022</v>
      </c>
      <c r="P112" s="79">
        <v>-6553.0836657537147</v>
      </c>
      <c r="Q112" s="79">
        <v>-2810.583791236626</v>
      </c>
      <c r="R112" s="79">
        <v>-646.77779406728223</v>
      </c>
      <c r="S112" s="79">
        <v>-7.7215425195172429</v>
      </c>
      <c r="T112" s="79">
        <v>-904.16060620342614</v>
      </c>
      <c r="V112" s="53">
        <v>2022</v>
      </c>
      <c r="W112" s="79">
        <v>-12185.584521569312</v>
      </c>
      <c r="X112" s="79">
        <v>-4362.9831467589829</v>
      </c>
      <c r="Y112" s="79">
        <v>-16095.741557064583</v>
      </c>
      <c r="Z112" s="79">
        <v>483.21097273478517</v>
      </c>
      <c r="AA112" s="79">
        <v>-2709.826624784735</v>
      </c>
    </row>
    <row r="113" spans="1:27" s="82" customFormat="1" x14ac:dyDescent="0.25">
      <c r="A113" s="53">
        <v>2023</v>
      </c>
      <c r="B113" s="78">
        <v>-20964.644644758664</v>
      </c>
      <c r="C113" s="78">
        <v>-18616.352109398926</v>
      </c>
      <c r="D113" s="78">
        <v>-5989.7505685379729</v>
      </c>
      <c r="E113" s="78">
        <v>3.5488046067912364</v>
      </c>
      <c r="F113" s="78">
        <v>-7731.9219488854869</v>
      </c>
      <c r="H113" s="53">
        <v>2023</v>
      </c>
      <c r="I113" s="78">
        <v>-20062.638692880981</v>
      </c>
      <c r="J113" s="78">
        <v>-17454.836598847294</v>
      </c>
      <c r="K113" s="78">
        <v>-5874.9841378791607</v>
      </c>
      <c r="L113" s="78">
        <v>2.7744792092707939</v>
      </c>
      <c r="M113" s="78">
        <v>-7513.7950233272859</v>
      </c>
      <c r="N113" s="39"/>
      <c r="O113" s="53">
        <v>2023</v>
      </c>
      <c r="P113" s="78">
        <v>1684.3983866994968</v>
      </c>
      <c r="Q113" s="78">
        <v>-1938.9489785883343</v>
      </c>
      <c r="R113" s="78">
        <v>-594.84540061006555</v>
      </c>
      <c r="S113" s="78">
        <v>-19.742575557334931</v>
      </c>
      <c r="T113" s="78">
        <v>-8875.1248544338159</v>
      </c>
      <c r="V113" s="53">
        <v>2023</v>
      </c>
      <c r="W113" s="78">
        <v>-32337.464816064807</v>
      </c>
      <c r="X113" s="78">
        <v>-19411.871941864258</v>
      </c>
      <c r="Y113" s="78">
        <v>-36177.229791353922</v>
      </c>
      <c r="Z113" s="78">
        <v>-27965.738559194971</v>
      </c>
      <c r="AA113" s="78">
        <v>-15139.90851642983</v>
      </c>
    </row>
    <row r="114" spans="1:27" s="82" customFormat="1" x14ac:dyDescent="0.25">
      <c r="A114" s="53">
        <v>2024</v>
      </c>
      <c r="B114" s="79">
        <v>2765.4365416539367</v>
      </c>
      <c r="C114" s="79">
        <v>-36.192166287684813</v>
      </c>
      <c r="D114" s="79">
        <v>-63.906977849022951</v>
      </c>
      <c r="E114" s="79">
        <v>7.8137492106834543</v>
      </c>
      <c r="F114" s="79">
        <v>-3254.2244113396737</v>
      </c>
      <c r="H114" s="53">
        <v>2024</v>
      </c>
      <c r="I114" s="79">
        <v>3061.339931090828</v>
      </c>
      <c r="J114" s="79">
        <v>1499.1748166121542</v>
      </c>
      <c r="K114" s="79">
        <v>50.197642636718228</v>
      </c>
      <c r="L114" s="79">
        <v>8.3697011197145912</v>
      </c>
      <c r="M114" s="79">
        <v>-3354.6419558509369</v>
      </c>
      <c r="N114" s="39"/>
      <c r="O114" s="53">
        <v>2024</v>
      </c>
      <c r="P114" s="79">
        <v>13694.988511042669</v>
      </c>
      <c r="Q114" s="79">
        <v>2498.0234247362241</v>
      </c>
      <c r="R114" s="79">
        <v>191.61040986515582</v>
      </c>
      <c r="S114" s="79">
        <v>-28.824300689688243</v>
      </c>
      <c r="T114" s="79">
        <v>-2251.4491401970154</v>
      </c>
      <c r="V114" s="53">
        <v>2024</v>
      </c>
      <c r="W114" s="79">
        <v>-8227.016934000887</v>
      </c>
      <c r="X114" s="79">
        <v>-6492.2665306343697</v>
      </c>
      <c r="Y114" s="79">
        <v>-8852.4764111700351</v>
      </c>
      <c r="Z114" s="79">
        <v>266.39301456422982</v>
      </c>
      <c r="AA114" s="79">
        <v>-4118.112689198344</v>
      </c>
    </row>
    <row r="115" spans="1:27" s="82" customFormat="1" x14ac:dyDescent="0.25">
      <c r="A115" s="53">
        <v>2025</v>
      </c>
      <c r="B115" s="78">
        <v>-11451.401142819552</v>
      </c>
      <c r="C115" s="78">
        <v>-8311.2832786594518</v>
      </c>
      <c r="D115" s="78">
        <v>-2586.6474576870169</v>
      </c>
      <c r="E115" s="78">
        <v>-5.1208449142068275</v>
      </c>
      <c r="F115" s="78">
        <v>-4255.4579075208167</v>
      </c>
      <c r="H115" s="53">
        <v>2025</v>
      </c>
      <c r="I115" s="78">
        <v>3668.2778429971077</v>
      </c>
      <c r="J115" s="78">
        <v>1539.4881711751223</v>
      </c>
      <c r="K115" s="78">
        <v>-13.470084726948699</v>
      </c>
      <c r="L115" s="78">
        <v>-8.353309852827806E-2</v>
      </c>
      <c r="M115" s="78">
        <v>-2595.8024680690723</v>
      </c>
      <c r="N115" s="39"/>
      <c r="O115" s="53">
        <v>2025</v>
      </c>
      <c r="P115" s="78">
        <v>5336.5523361589294</v>
      </c>
      <c r="Q115" s="78">
        <v>1382.9834649784025</v>
      </c>
      <c r="R115" s="78">
        <v>159.92877446006787</v>
      </c>
      <c r="S115" s="78">
        <v>-41.544617867570196</v>
      </c>
      <c r="T115" s="78">
        <v>-2780.1829549538088</v>
      </c>
      <c r="V115" s="53">
        <v>2025</v>
      </c>
      <c r="W115" s="78">
        <v>-10749.885916376952</v>
      </c>
      <c r="X115" s="78">
        <v>-3746.1940864059143</v>
      </c>
      <c r="Y115" s="78">
        <v>-3728.6429050901788</v>
      </c>
      <c r="Z115" s="78">
        <v>-4469.0950245147833</v>
      </c>
      <c r="AA115" s="78">
        <v>-6626.6325180126005</v>
      </c>
    </row>
  </sheetData>
  <scenarios current="0">
    <scenario name="Neutral" locked="1" count="1" user="Kiet Lee" comment="Created by Kiet Lee on 10/10/2017">
      <inputCells r="B2" val="5" numFmtId="9"/>
    </scenario>
  </scenarios>
  <mergeCells count="12">
    <mergeCell ref="A74:A87"/>
    <mergeCell ref="H74:H87"/>
    <mergeCell ref="V74:V87"/>
    <mergeCell ref="O74:O87"/>
    <mergeCell ref="A31:A44"/>
    <mergeCell ref="H31:H44"/>
    <mergeCell ref="O31:O44"/>
    <mergeCell ref="V31:V44"/>
    <mergeCell ref="A49:A69"/>
    <mergeCell ref="H49:H69"/>
    <mergeCell ref="O49:O69"/>
    <mergeCell ref="V49:V69"/>
  </mergeCells>
  <conditionalFormatting sqref="D16:K22"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A115"/>
  <sheetViews>
    <sheetView zoomScale="70" zoomScaleNormal="70" workbookViewId="0"/>
  </sheetViews>
  <sheetFormatPr defaultColWidth="14.7109375" defaultRowHeight="15" x14ac:dyDescent="0.25"/>
  <cols>
    <col min="1" max="2" width="14.7109375" style="42"/>
    <col min="3" max="3" width="14.85546875" style="42" customWidth="1"/>
    <col min="4" max="4" width="14.7109375" style="42"/>
    <col min="5" max="5" width="15.7109375" style="42" customWidth="1"/>
    <col min="6" max="16384" width="14.7109375" style="42"/>
  </cols>
  <sheetData>
    <row r="1" spans="1:22" s="65" customFormat="1" x14ac:dyDescent="0.25">
      <c r="A1" s="9" t="s">
        <v>12</v>
      </c>
      <c r="C1" s="9" t="s">
        <v>14</v>
      </c>
    </row>
    <row r="2" spans="1:22" s="61" customFormat="1" x14ac:dyDescent="0.25">
      <c r="A2" s="13" t="s">
        <v>8</v>
      </c>
      <c r="B2" s="85">
        <v>0.06</v>
      </c>
      <c r="C2" s="20">
        <f>Discount_rate</f>
        <v>0.06</v>
      </c>
    </row>
    <row r="3" spans="1:22" s="61" customFormat="1" x14ac:dyDescent="0.25">
      <c r="A3" s="31" t="s">
        <v>13</v>
      </c>
      <c r="B3" s="24">
        <v>339610.25</v>
      </c>
      <c r="C3" s="32">
        <f>Option_B3_Cost+$E$47</f>
        <v>339610.25196523999</v>
      </c>
    </row>
    <row r="4" spans="1:22" s="61" customFormat="1" x14ac:dyDescent="0.25">
      <c r="A4" s="31" t="s">
        <v>34</v>
      </c>
      <c r="B4" s="15">
        <v>30</v>
      </c>
      <c r="C4" s="19">
        <f>Network_payment_duration_years</f>
        <v>30</v>
      </c>
    </row>
    <row r="5" spans="1:22" s="61" customFormat="1" x14ac:dyDescent="0.25">
      <c r="A5" s="11"/>
      <c r="B5" s="25"/>
      <c r="D5" s="65"/>
      <c r="E5" s="65"/>
    </row>
    <row r="6" spans="1:22" s="61" customFormat="1" x14ac:dyDescent="0.25">
      <c r="A6" s="30" t="s">
        <v>15</v>
      </c>
      <c r="B6" s="31" t="s">
        <v>9</v>
      </c>
      <c r="C6" s="10" t="s">
        <v>89</v>
      </c>
      <c r="D6" s="10" t="s">
        <v>20</v>
      </c>
      <c r="E6" s="10" t="s">
        <v>21</v>
      </c>
    </row>
    <row r="7" spans="1:22" s="61" customFormat="1" x14ac:dyDescent="0.25">
      <c r="A7" s="30" t="s">
        <v>7</v>
      </c>
      <c r="B7" s="24">
        <f>E25</f>
        <v>67962.994850394898</v>
      </c>
      <c r="C7" s="24">
        <f>L25</f>
        <v>22198.022454804333</v>
      </c>
      <c r="D7" s="24">
        <f>S25</f>
        <v>44088.050417696417</v>
      </c>
      <c r="E7" s="24">
        <f>Z25</f>
        <v>134140.08531872841</v>
      </c>
      <c r="G7" s="29"/>
      <c r="H7" s="29"/>
      <c r="I7" s="29"/>
      <c r="J7" s="29"/>
      <c r="K7" s="29"/>
      <c r="L7" s="29"/>
      <c r="M7" s="29"/>
      <c r="N7" s="29"/>
      <c r="O7" s="29"/>
      <c r="P7" s="29"/>
      <c r="T7" s="29"/>
      <c r="U7" s="29"/>
      <c r="V7" s="29"/>
    </row>
    <row r="8" spans="1:22" s="61" customFormat="1" x14ac:dyDescent="0.25">
      <c r="A8" s="11"/>
      <c r="B8" s="25"/>
      <c r="D8" s="65"/>
      <c r="E8" s="65"/>
      <c r="G8" s="29"/>
      <c r="H8" s="29"/>
      <c r="I8" s="29"/>
      <c r="J8" s="29"/>
      <c r="K8" s="29"/>
      <c r="L8" s="29"/>
      <c r="M8" s="29"/>
      <c r="N8" s="29"/>
      <c r="O8" s="29"/>
      <c r="P8" s="29"/>
      <c r="T8" s="29"/>
      <c r="U8" s="29"/>
      <c r="V8" s="29"/>
    </row>
    <row r="9" spans="1:22" s="65" customFormat="1" x14ac:dyDescent="0.25">
      <c r="A9" s="30" t="str">
        <f>Assumptions!A20</f>
        <v>Scenario weightings</v>
      </c>
      <c r="B9" s="5" t="str">
        <f>Assumptions!B20</f>
        <v>Neutral</v>
      </c>
      <c r="C9" s="5" t="str">
        <f>Assumptions!C20</f>
        <v>NeutralWS</v>
      </c>
      <c r="D9" s="5" t="str">
        <f>Assumptions!D20</f>
        <v>Slow Change</v>
      </c>
      <c r="E9" s="5" t="str">
        <f>Assumptions!E20</f>
        <v>Fast Change</v>
      </c>
      <c r="F9" s="5" t="str">
        <f>Assumptions!F20</f>
        <v>Total</v>
      </c>
    </row>
    <row r="10" spans="1:22" s="65" customFormat="1" x14ac:dyDescent="0.25">
      <c r="A10" s="31" t="str">
        <f>Assumptions!A21</f>
        <v>Set A - all equal</v>
      </c>
      <c r="B10" s="7">
        <f>Assumptions!B21</f>
        <v>0.25</v>
      </c>
      <c r="C10" s="7">
        <f>Assumptions!C21</f>
        <v>0.25</v>
      </c>
      <c r="D10" s="7">
        <f>Assumptions!D21</f>
        <v>0.25</v>
      </c>
      <c r="E10" s="7">
        <f>Assumptions!E21</f>
        <v>0.25</v>
      </c>
      <c r="F10" s="7">
        <f>Assumptions!F21</f>
        <v>1</v>
      </c>
    </row>
    <row r="11" spans="1:22" s="65" customFormat="1" x14ac:dyDescent="0.25">
      <c r="A11" s="31" t="str">
        <f>Assumptions!A22</f>
        <v>Set B - more Neutral</v>
      </c>
      <c r="B11" s="7">
        <f>Assumptions!B22</f>
        <v>0.4</v>
      </c>
      <c r="C11" s="7">
        <f>Assumptions!C22</f>
        <v>0.4</v>
      </c>
      <c r="D11" s="7">
        <f>Assumptions!D22</f>
        <v>0.1</v>
      </c>
      <c r="E11" s="7">
        <f>Assumptions!E22</f>
        <v>0.1</v>
      </c>
      <c r="F11" s="7">
        <f>Assumptions!F22</f>
        <v>1</v>
      </c>
    </row>
    <row r="12" spans="1:22" s="65" customFormat="1" x14ac:dyDescent="0.25">
      <c r="A12" s="31" t="str">
        <f>Assumptions!A23</f>
        <v>Set C - Slow Change</v>
      </c>
      <c r="B12" s="7">
        <f>Assumptions!B23</f>
        <v>0.2</v>
      </c>
      <c r="C12" s="7">
        <f>Assumptions!C23</f>
        <v>0.2</v>
      </c>
      <c r="D12" s="7">
        <f>Assumptions!D23</f>
        <v>0.4</v>
      </c>
      <c r="E12" s="7">
        <f>Assumptions!E23</f>
        <v>0.2</v>
      </c>
      <c r="F12" s="7">
        <f>Assumptions!F23</f>
        <v>1</v>
      </c>
    </row>
    <row r="13" spans="1:22" s="65" customFormat="1" x14ac:dyDescent="0.25">
      <c r="A13" s="31" t="str">
        <f>Assumptions!A24</f>
        <v>Set D - Fast Change</v>
      </c>
      <c r="B13" s="7">
        <f>Assumptions!B24</f>
        <v>0.2</v>
      </c>
      <c r="C13" s="7">
        <f>Assumptions!C24</f>
        <v>0.2</v>
      </c>
      <c r="D13" s="7">
        <f>Assumptions!D24</f>
        <v>0.2</v>
      </c>
      <c r="E13" s="7">
        <f>Assumptions!E24</f>
        <v>0.4</v>
      </c>
      <c r="F13" s="7">
        <f>Assumptions!F24</f>
        <v>1</v>
      </c>
    </row>
    <row r="14" spans="1:22" s="65" customFormat="1" x14ac:dyDescent="0.25">
      <c r="A14" s="11"/>
      <c r="B14" s="72"/>
      <c r="C14" s="72"/>
      <c r="D14" s="72"/>
      <c r="E14" s="72"/>
      <c r="F14" s="72"/>
    </row>
    <row r="15" spans="1:22" s="65" customFormat="1" x14ac:dyDescent="0.25">
      <c r="A15" s="33"/>
      <c r="B15" s="5" t="s">
        <v>35</v>
      </c>
      <c r="C15" s="33" t="str">
        <f ca="1">MID(CELL("filename",C1),FIND("]",CELL("filename",C1))+1,255)</f>
        <v>Benefits - Option B3</v>
      </c>
      <c r="D15" s="2" t="s">
        <v>9</v>
      </c>
      <c r="E15" s="2" t="s">
        <v>89</v>
      </c>
      <c r="F15" s="2" t="s">
        <v>20</v>
      </c>
      <c r="G15" s="2" t="s">
        <v>21</v>
      </c>
      <c r="H15" s="2" t="s">
        <v>17</v>
      </c>
      <c r="I15" s="92" t="s">
        <v>18</v>
      </c>
      <c r="J15" s="92" t="s">
        <v>19</v>
      </c>
      <c r="K15" s="92" t="s">
        <v>43</v>
      </c>
      <c r="L15" s="29"/>
      <c r="M15" s="29"/>
      <c r="N15" s="29"/>
      <c r="O15" s="29"/>
      <c r="P15" s="29"/>
      <c r="T15" s="29"/>
      <c r="U15" s="29"/>
      <c r="V15" s="29"/>
    </row>
    <row r="16" spans="1:22" s="61" customFormat="1" x14ac:dyDescent="0.25">
      <c r="A16" s="22" t="s">
        <v>8</v>
      </c>
      <c r="B16" s="23">
        <f>Assumptions!B9+Discount_rate</f>
        <v>0.06</v>
      </c>
      <c r="C16" s="57" t="s">
        <v>36</v>
      </c>
      <c r="D16" s="2">
        <v>67962.990000000005</v>
      </c>
      <c r="E16" s="2">
        <v>22198.02</v>
      </c>
      <c r="F16" s="2">
        <v>44088.05</v>
      </c>
      <c r="G16" s="2">
        <v>134140.09</v>
      </c>
      <c r="H16" s="2">
        <f>$B$10*$D16+$C$10*$E16+$D$10*$F16+$E$10*$G16</f>
        <v>67097.287500000006</v>
      </c>
      <c r="I16" s="2">
        <f t="shared" ref="I16:I22" si="0">$B$11*$D16+$C$11*$E16+$D$11*$F16+$E$11*$G16</f>
        <v>53887.218000000001</v>
      </c>
      <c r="J16" s="2">
        <f t="shared" ref="J16:J22" si="1">$B$12*$D16+$C$12*$E16+$D$12*$F16+$E$12*$G16</f>
        <v>62495.44</v>
      </c>
      <c r="K16" s="2">
        <f t="shared" ref="K16:K22" si="2">$B$13*$D16+$C$13*$E16+$D$13*$F16+$E$13*$G16</f>
        <v>80505.847999999998</v>
      </c>
      <c r="L16" s="29"/>
      <c r="M16" s="29"/>
      <c r="N16" s="29"/>
      <c r="O16" s="29"/>
      <c r="P16" s="29"/>
      <c r="T16" s="29"/>
      <c r="U16" s="29"/>
      <c r="V16" s="29"/>
    </row>
    <row r="17" spans="1:26" s="61" customFormat="1" x14ac:dyDescent="0.25">
      <c r="A17" s="22"/>
      <c r="B17" s="23">
        <f>Assumptions!B10+Discount_rate</f>
        <v>8.4999999999999992E-2</v>
      </c>
      <c r="C17" s="22" t="str">
        <f>"Discount rate " &amp;Assumptions!B10</f>
        <v>Discount rate 0.025</v>
      </c>
      <c r="D17" s="2">
        <v>20494.52</v>
      </c>
      <c r="E17" s="2">
        <v>-17848.62</v>
      </c>
      <c r="F17" s="2">
        <v>8915.8700000000008</v>
      </c>
      <c r="G17" s="2">
        <v>40676.71</v>
      </c>
      <c r="H17" s="2">
        <f t="shared" ref="H17:H22" si="3">$B$10*$D17+$C$10*$E17+$D$10*$F17+$E$10*$G17</f>
        <v>13059.62</v>
      </c>
      <c r="I17" s="2">
        <f t="shared" si="0"/>
        <v>6017.6180000000004</v>
      </c>
      <c r="J17" s="2">
        <f t="shared" si="1"/>
        <v>12230.87</v>
      </c>
      <c r="K17" s="2">
        <f t="shared" si="2"/>
        <v>18583.038</v>
      </c>
      <c r="L17" s="29"/>
      <c r="M17" s="29"/>
      <c r="N17" s="29"/>
      <c r="O17" s="29"/>
      <c r="P17" s="29"/>
      <c r="T17" s="29"/>
      <c r="U17" s="29"/>
      <c r="V17" s="29"/>
    </row>
    <row r="18" spans="1:26" s="61" customFormat="1" x14ac:dyDescent="0.25">
      <c r="A18" s="22"/>
      <c r="B18" s="23">
        <f>Assumptions!B11+Discount_rate</f>
        <v>3.4999999999999996E-2</v>
      </c>
      <c r="C18" s="22" t="str">
        <f>"Discount rate " &amp;Assumptions!B11</f>
        <v>Discount rate -0.025</v>
      </c>
      <c r="D18" s="2">
        <v>155891.25</v>
      </c>
      <c r="E18" s="2">
        <v>100913.72</v>
      </c>
      <c r="F18" s="2">
        <v>108022.71</v>
      </c>
      <c r="G18" s="2">
        <v>322324.32</v>
      </c>
      <c r="H18" s="2">
        <f t="shared" si="3"/>
        <v>171788</v>
      </c>
      <c r="I18" s="2">
        <f t="shared" si="0"/>
        <v>145756.69100000002</v>
      </c>
      <c r="J18" s="2">
        <f t="shared" si="1"/>
        <v>159034.94200000001</v>
      </c>
      <c r="K18" s="2">
        <f t="shared" si="2"/>
        <v>201895.26400000002</v>
      </c>
      <c r="L18" s="29"/>
      <c r="M18" s="29"/>
      <c r="N18" s="29"/>
      <c r="O18" s="29"/>
      <c r="P18" s="29"/>
      <c r="T18" s="29"/>
      <c r="U18" s="29"/>
      <c r="V18" s="29"/>
    </row>
    <row r="19" spans="1:26" s="61" customFormat="1" x14ac:dyDescent="0.25">
      <c r="A19" s="21" t="s">
        <v>13</v>
      </c>
      <c r="B19" s="24">
        <f>Assumptions!B13*(Option_B3_Cost+$E$47)</f>
        <v>441493.32755481201</v>
      </c>
      <c r="C19" s="21" t="str">
        <f>"Cost x "&amp;Assumptions!B13</f>
        <v>Cost x 1.3</v>
      </c>
      <c r="D19" s="2">
        <v>-10924.72</v>
      </c>
      <c r="E19" s="2">
        <v>-56689.69</v>
      </c>
      <c r="F19" s="2">
        <v>-34799.660000000003</v>
      </c>
      <c r="G19" s="2">
        <v>55252.37</v>
      </c>
      <c r="H19" s="2">
        <f t="shared" si="3"/>
        <v>-11790.425000000001</v>
      </c>
      <c r="I19" s="2">
        <f t="shared" si="0"/>
        <v>-25000.493000000002</v>
      </c>
      <c r="J19" s="2">
        <f t="shared" si="1"/>
        <v>-16392.272000000001</v>
      </c>
      <c r="K19" s="2">
        <f t="shared" si="2"/>
        <v>1618.1340000000018</v>
      </c>
      <c r="L19" s="29"/>
      <c r="M19" s="29"/>
      <c r="N19" s="29"/>
      <c r="O19" s="29"/>
      <c r="P19" s="29"/>
      <c r="T19" s="29"/>
      <c r="U19" s="29"/>
      <c r="V19" s="29"/>
    </row>
    <row r="20" spans="1:26" s="61" customFormat="1" x14ac:dyDescent="0.25">
      <c r="A20" s="21"/>
      <c r="B20" s="24">
        <f>Assumptions!B14*(Option_B3_Cost+$E$47)</f>
        <v>237727.17637566797</v>
      </c>
      <c r="C20" s="21" t="str">
        <f>"Cost x "&amp;Assumptions!B14</f>
        <v>Cost x 0.7</v>
      </c>
      <c r="D20" s="2">
        <v>146850.70000000001</v>
      </c>
      <c r="E20" s="2">
        <v>101085.73</v>
      </c>
      <c r="F20" s="2">
        <v>122975.76</v>
      </c>
      <c r="G20" s="2">
        <v>213027.79</v>
      </c>
      <c r="H20" s="2">
        <f t="shared" si="3"/>
        <v>145984.995</v>
      </c>
      <c r="I20" s="2">
        <f t="shared" si="0"/>
        <v>132774.92700000003</v>
      </c>
      <c r="J20" s="2">
        <f t="shared" si="1"/>
        <v>141383.14800000002</v>
      </c>
      <c r="K20" s="2">
        <f t="shared" si="2"/>
        <v>159393.554</v>
      </c>
      <c r="L20" s="29"/>
      <c r="M20" s="29"/>
      <c r="N20" s="29"/>
      <c r="O20" s="29"/>
      <c r="P20" s="29"/>
      <c r="T20" s="29"/>
      <c r="U20" s="29"/>
      <c r="V20" s="29"/>
    </row>
    <row r="21" spans="1:26" s="61" customFormat="1" x14ac:dyDescent="0.25">
      <c r="A21" s="55" t="s">
        <v>33</v>
      </c>
      <c r="B21" s="56">
        <f>Network_payment_duration_years+Assumptions!B16</f>
        <v>25</v>
      </c>
      <c r="C21" s="55" t="str">
        <f>"Payback "&amp;Assumptions!B16&amp;" years"</f>
        <v>Payback -5 years</v>
      </c>
      <c r="D21" s="2">
        <v>67381.649999999994</v>
      </c>
      <c r="E21" s="2">
        <v>21616.68</v>
      </c>
      <c r="F21" s="2">
        <v>43506.71</v>
      </c>
      <c r="G21" s="2">
        <v>133558.74</v>
      </c>
      <c r="H21" s="2">
        <f t="shared" si="3"/>
        <v>66515.944999999992</v>
      </c>
      <c r="I21" s="2">
        <f t="shared" si="0"/>
        <v>53305.877000000008</v>
      </c>
      <c r="J21" s="2">
        <f t="shared" si="1"/>
        <v>61914.098000000005</v>
      </c>
      <c r="K21" s="2">
        <f t="shared" si="2"/>
        <v>79924.504000000001</v>
      </c>
      <c r="L21" s="29"/>
      <c r="M21" s="29"/>
      <c r="N21" s="29"/>
      <c r="O21" s="29"/>
      <c r="P21" s="29"/>
      <c r="T21" s="29"/>
      <c r="U21" s="29"/>
      <c r="V21" s="29"/>
    </row>
    <row r="22" spans="1:26" s="61" customFormat="1" x14ac:dyDescent="0.25">
      <c r="A22" s="55"/>
      <c r="B22" s="56">
        <f>Network_payment_duration_years+Assumptions!B17</f>
        <v>35</v>
      </c>
      <c r="C22" s="55" t="str">
        <f>"Payback +"&amp;Assumptions!B17&amp;" years"</f>
        <v>Payback +5 years</v>
      </c>
      <c r="D22" s="2">
        <v>68346.02</v>
      </c>
      <c r="E22" s="2">
        <v>22581.05</v>
      </c>
      <c r="F22" s="2">
        <v>44471.08</v>
      </c>
      <c r="G22" s="2">
        <v>134523.10999999999</v>
      </c>
      <c r="H22" s="2">
        <f t="shared" si="3"/>
        <v>67480.315000000002</v>
      </c>
      <c r="I22" s="2">
        <f t="shared" si="0"/>
        <v>54270.247000000003</v>
      </c>
      <c r="J22" s="2">
        <f t="shared" si="1"/>
        <v>62878.468000000008</v>
      </c>
      <c r="K22" s="2">
        <f t="shared" si="2"/>
        <v>80888.873999999996</v>
      </c>
      <c r="L22" s="29"/>
      <c r="M22" s="29"/>
      <c r="N22" s="29"/>
      <c r="O22" s="29"/>
      <c r="P22" s="29"/>
      <c r="T22" s="29"/>
      <c r="U22" s="29"/>
      <c r="V22" s="29"/>
    </row>
    <row r="23" spans="1:26" s="65" customFormat="1" x14ac:dyDescent="0.25">
      <c r="A23" s="91"/>
      <c r="B23" s="12"/>
      <c r="C23" s="4"/>
      <c r="E23" s="4"/>
    </row>
    <row r="24" spans="1:26" s="61" customFormat="1" x14ac:dyDescent="0.25">
      <c r="A24" s="4"/>
      <c r="C24" s="13" t="s">
        <v>4</v>
      </c>
      <c r="D24" s="13" t="s">
        <v>5</v>
      </c>
      <c r="E24" s="13" t="s">
        <v>6</v>
      </c>
      <c r="H24" s="4"/>
      <c r="J24" s="13" t="s">
        <v>4</v>
      </c>
      <c r="K24" s="13" t="s">
        <v>5</v>
      </c>
      <c r="L24" s="13" t="s">
        <v>6</v>
      </c>
      <c r="O24" s="4"/>
      <c r="Q24" s="13" t="s">
        <v>4</v>
      </c>
      <c r="R24" s="13" t="s">
        <v>5</v>
      </c>
      <c r="S24" s="13" t="s">
        <v>6</v>
      </c>
      <c r="V24" s="4"/>
      <c r="X24" s="13" t="s">
        <v>4</v>
      </c>
      <c r="Y24" s="13" t="s">
        <v>5</v>
      </c>
      <c r="Z24" s="13" t="s">
        <v>6</v>
      </c>
    </row>
    <row r="25" spans="1:26" s="61" customFormat="1" x14ac:dyDescent="0.25">
      <c r="A25" s="25"/>
      <c r="B25" s="53" t="s">
        <v>7</v>
      </c>
      <c r="C25" s="2">
        <f>NPV($B$2,C31:C44)+C72</f>
        <v>330922.03001380776</v>
      </c>
      <c r="D25" s="2">
        <f>NPV($B$2,D31:D44)+NPV($B$2,E31:E44)</f>
        <v>262959.03516341286</v>
      </c>
      <c r="E25" s="2">
        <f>C25-D25</f>
        <v>67962.994850394898</v>
      </c>
      <c r="F25" s="64"/>
      <c r="H25" s="25"/>
      <c r="I25" s="53" t="s">
        <v>7</v>
      </c>
      <c r="J25" s="2">
        <f>NPV($B$2,J31:J44)+J72</f>
        <v>285157.05761821719</v>
      </c>
      <c r="K25" s="2">
        <f>NPV($B$2,K31:K44)+NPV($B$2,L31:L44)</f>
        <v>262959.03516341286</v>
      </c>
      <c r="L25" s="2">
        <f>J25-K25</f>
        <v>22198.022454804333</v>
      </c>
      <c r="O25" s="25"/>
      <c r="P25" s="53" t="s">
        <v>7</v>
      </c>
      <c r="Q25" s="2">
        <f>NPV($B$2,Q31:Q44)+Q72</f>
        <v>307047.08558110928</v>
      </c>
      <c r="R25" s="2">
        <f>NPV($B$2,R31:R44)+NPV($B$2,S31:S44)</f>
        <v>262959.03516341286</v>
      </c>
      <c r="S25" s="2">
        <f>Q25-R25</f>
        <v>44088.050417696417</v>
      </c>
      <c r="V25" s="25"/>
      <c r="W25" s="53" t="s">
        <v>7</v>
      </c>
      <c r="X25" s="2">
        <f>NPV($B$2,X31:X44)+X72</f>
        <v>397099.12048214127</v>
      </c>
      <c r="Y25" s="2">
        <f>NPV($B$2,Y31:Y44)+NPV($B$2,Z31:Z44)</f>
        <v>262959.03516341286</v>
      </c>
      <c r="Z25" s="2">
        <f>X25-Y25</f>
        <v>134140.08531872841</v>
      </c>
    </row>
    <row r="26" spans="1:26" s="37" customFormat="1" ht="15.75" thickBot="1" x14ac:dyDescent="0.3">
      <c r="A26" s="36"/>
      <c r="C26" s="36"/>
      <c r="D26" s="36"/>
      <c r="E26" s="36"/>
      <c r="H26" s="36"/>
      <c r="J26" s="36"/>
      <c r="K26" s="36"/>
      <c r="L26" s="36"/>
      <c r="O26" s="36"/>
      <c r="Q26" s="36"/>
      <c r="R26" s="36"/>
      <c r="S26" s="36"/>
      <c r="V26" s="36"/>
      <c r="X26" s="36"/>
      <c r="Y26" s="36"/>
      <c r="Z26" s="36"/>
    </row>
    <row r="27" spans="1:26" s="65" customFormat="1" x14ac:dyDescent="0.25">
      <c r="A27" s="4"/>
      <c r="C27" s="4"/>
      <c r="D27" s="4"/>
      <c r="E27" s="4"/>
      <c r="H27" s="4"/>
      <c r="J27" s="4"/>
      <c r="K27" s="4"/>
      <c r="L27" s="4"/>
      <c r="O27" s="4"/>
      <c r="Q27" s="4"/>
      <c r="R27" s="4"/>
      <c r="S27" s="4"/>
      <c r="V27" s="4"/>
      <c r="X27" s="4"/>
      <c r="Y27" s="4"/>
      <c r="Z27" s="4"/>
    </row>
    <row r="28" spans="1:26" s="65" customFormat="1" x14ac:dyDescent="0.25">
      <c r="A28" s="74" t="s">
        <v>85</v>
      </c>
      <c r="C28" s="4"/>
      <c r="D28" s="4"/>
      <c r="E28" s="4"/>
      <c r="H28" s="4"/>
      <c r="J28" s="4"/>
      <c r="K28" s="4"/>
      <c r="L28" s="4"/>
      <c r="O28" s="4"/>
      <c r="Q28" s="4"/>
      <c r="R28" s="4"/>
      <c r="S28" s="4"/>
      <c r="V28" s="4"/>
      <c r="X28" s="4"/>
      <c r="Y28" s="4"/>
      <c r="Z28" s="4"/>
    </row>
    <row r="29" spans="1:26" s="61" customFormat="1" x14ac:dyDescent="0.25">
      <c r="A29" s="46" t="s">
        <v>9</v>
      </c>
      <c r="B29" s="27"/>
      <c r="C29" s="27"/>
      <c r="D29" s="27"/>
      <c r="E29" s="28"/>
      <c r="H29" s="46" t="s">
        <v>89</v>
      </c>
      <c r="I29" s="27"/>
      <c r="J29" s="27"/>
      <c r="K29" s="27"/>
      <c r="L29" s="28"/>
      <c r="O29" s="26" t="s">
        <v>20</v>
      </c>
      <c r="P29" s="27"/>
      <c r="Q29" s="27"/>
      <c r="R29" s="27"/>
      <c r="S29" s="28"/>
      <c r="V29" s="46" t="s">
        <v>21</v>
      </c>
      <c r="W29" s="27"/>
      <c r="X29" s="27"/>
      <c r="Y29" s="27"/>
      <c r="Z29" s="28"/>
    </row>
    <row r="30" spans="1:26" s="82" customFormat="1" x14ac:dyDescent="0.25">
      <c r="A30" s="13" t="s">
        <v>0</v>
      </c>
      <c r="B30" s="13" t="s">
        <v>1</v>
      </c>
      <c r="C30" s="13" t="s">
        <v>84</v>
      </c>
      <c r="D30" s="13" t="s">
        <v>5</v>
      </c>
      <c r="E30" s="53" t="s">
        <v>74</v>
      </c>
      <c r="F30" s="83"/>
      <c r="H30" s="13" t="s">
        <v>0</v>
      </c>
      <c r="I30" s="13" t="s">
        <v>1</v>
      </c>
      <c r="J30" s="13" t="s">
        <v>84</v>
      </c>
      <c r="K30" s="13" t="s">
        <v>5</v>
      </c>
      <c r="L30" s="53" t="s">
        <v>74</v>
      </c>
      <c r="M30" s="83"/>
      <c r="N30" s="83"/>
      <c r="O30" s="13" t="s">
        <v>0</v>
      </c>
      <c r="P30" s="13" t="s">
        <v>1</v>
      </c>
      <c r="Q30" s="13" t="s">
        <v>84</v>
      </c>
      <c r="R30" s="13" t="s">
        <v>5</v>
      </c>
      <c r="S30" s="53" t="s">
        <v>74</v>
      </c>
      <c r="V30" s="13" t="s">
        <v>0</v>
      </c>
      <c r="W30" s="13" t="s">
        <v>1</v>
      </c>
      <c r="X30" s="13" t="s">
        <v>84</v>
      </c>
      <c r="Y30" s="13" t="s">
        <v>5</v>
      </c>
      <c r="Z30" s="53" t="s">
        <v>74</v>
      </c>
    </row>
    <row r="31" spans="1:26" s="61" customFormat="1" x14ac:dyDescent="0.25">
      <c r="A31" s="95" t="s">
        <v>10</v>
      </c>
      <c r="B31" s="53">
        <v>2020</v>
      </c>
      <c r="C31" s="2">
        <f t="shared" ref="C31:C43" si="4">IF(B31&gt;=Option_B3_Year,SUM(B92:F92),SUM(B110:F110))</f>
        <v>2979.8963841714285</v>
      </c>
      <c r="D31" s="2">
        <f>IF(AND(B31&gt;=Option_B3_Year,B31&lt;=(Option_B3_Year+($B$4-1))),-PMT($B$2,$B$4,$B$3,,0),0)</f>
        <v>0</v>
      </c>
      <c r="E31" s="2">
        <f>D31*Assumptions!$D$30</f>
        <v>0</v>
      </c>
      <c r="F31" s="66"/>
      <c r="H31" s="95" t="s">
        <v>10</v>
      </c>
      <c r="I31" s="53">
        <v>2020</v>
      </c>
      <c r="J31" s="2">
        <f t="shared" ref="J31:J43" si="5">IF(I31&gt;=Option_B3_Year,SUM(I92:M92),SUM(I110:M110))</f>
        <v>2887.5407317857098</v>
      </c>
      <c r="K31" s="2">
        <f t="shared" ref="K31:K43" si="6">IF(AND(I31&gt;=Option_B3_Year,I31&lt;=(Option_B3_Year+($B$4-1))),-PMT($B$2,$B$4,$B$3,,0),0)</f>
        <v>0</v>
      </c>
      <c r="L31" s="2">
        <f>K31*Assumptions!$D$30</f>
        <v>0</v>
      </c>
      <c r="M31" s="63"/>
      <c r="N31" s="63"/>
      <c r="O31" s="95" t="s">
        <v>10</v>
      </c>
      <c r="P31" s="53">
        <v>2020</v>
      </c>
      <c r="Q31" s="2">
        <f t="shared" ref="Q31:Q43" si="7">IF(P31&gt;=Option_B3_Year,SUM(P92:T92),SUM(P110:T110))</f>
        <v>174.23403594400588</v>
      </c>
      <c r="R31" s="2">
        <f t="shared" ref="R31:R43" si="8">IF(AND(P31&gt;=Option_B3_Year,P31&lt;=(Option_B3_Year+($B$4-1))),-PMT($B$2,$B$4,$B$3,,0),0)</f>
        <v>0</v>
      </c>
      <c r="S31" s="2">
        <f>R31*Assumptions!$D$30</f>
        <v>0</v>
      </c>
      <c r="V31" s="95" t="s">
        <v>10</v>
      </c>
      <c r="W31" s="53">
        <v>2020</v>
      </c>
      <c r="X31" s="2">
        <f t="shared" ref="X31:X43" si="9">IF(W31&gt;=Option_B3_Year,SUM(W92:AA92),SUM(W110:AA110))</f>
        <v>0</v>
      </c>
      <c r="Y31" s="2">
        <f t="shared" ref="Y31:Y43" si="10">IF(AND(W31&gt;=Option_B3_Year,W31&lt;=(Option_B3_Year+($B$4-1))),-PMT($B$2,$B$4,$B$3,,0),0)</f>
        <v>0</v>
      </c>
      <c r="Z31" s="2">
        <f>Y31*Assumptions!$D$30</f>
        <v>0</v>
      </c>
    </row>
    <row r="32" spans="1:26" s="61" customFormat="1" x14ac:dyDescent="0.25">
      <c r="A32" s="96"/>
      <c r="B32" s="53">
        <v>2021</v>
      </c>
      <c r="C32" s="2">
        <f t="shared" si="4"/>
        <v>-7385.4104361963036</v>
      </c>
      <c r="D32" s="2">
        <f t="shared" ref="D32:D43" si="11">IF(AND(B32&gt;=Option_B3_Year,B32&lt;=(Option_B3_Year+($B$4-1))),-PMT($B$2,$B$4,$B$3,,0),0)</f>
        <v>0</v>
      </c>
      <c r="E32" s="2">
        <f>D32*Assumptions!$D$30</f>
        <v>0</v>
      </c>
      <c r="F32" s="48"/>
      <c r="H32" s="96"/>
      <c r="I32" s="53">
        <v>2021</v>
      </c>
      <c r="J32" s="2">
        <f t="shared" si="5"/>
        <v>-7272.2234018583331</v>
      </c>
      <c r="K32" s="2">
        <f t="shared" si="6"/>
        <v>0</v>
      </c>
      <c r="L32" s="2">
        <f>K32*Assumptions!$D$30</f>
        <v>0</v>
      </c>
      <c r="O32" s="96"/>
      <c r="P32" s="53">
        <v>2021</v>
      </c>
      <c r="Q32" s="2">
        <f t="shared" si="7"/>
        <v>-7203.3304420248605</v>
      </c>
      <c r="R32" s="2">
        <f t="shared" si="8"/>
        <v>0</v>
      </c>
      <c r="S32" s="2">
        <f>R32*Assumptions!$D$30</f>
        <v>0</v>
      </c>
      <c r="V32" s="96"/>
      <c r="W32" s="53">
        <v>2021</v>
      </c>
      <c r="X32" s="2">
        <f t="shared" si="9"/>
        <v>-10753.284428262647</v>
      </c>
      <c r="Y32" s="2">
        <f t="shared" si="10"/>
        <v>0</v>
      </c>
      <c r="Z32" s="2">
        <f>Y32*Assumptions!$D$30</f>
        <v>0</v>
      </c>
    </row>
    <row r="33" spans="1:26" s="61" customFormat="1" x14ac:dyDescent="0.25">
      <c r="A33" s="96"/>
      <c r="B33" s="53">
        <v>2022</v>
      </c>
      <c r="C33" s="2">
        <f t="shared" si="4"/>
        <v>-15478.921648694544</v>
      </c>
      <c r="D33" s="2">
        <f t="shared" si="11"/>
        <v>0</v>
      </c>
      <c r="E33" s="2">
        <f>D33*Assumptions!$D$30</f>
        <v>0</v>
      </c>
      <c r="F33" s="48"/>
      <c r="H33" s="96"/>
      <c r="I33" s="53">
        <v>2022</v>
      </c>
      <c r="J33" s="2">
        <f t="shared" si="5"/>
        <v>-15324.569634523643</v>
      </c>
      <c r="K33" s="2">
        <f t="shared" si="6"/>
        <v>0</v>
      </c>
      <c r="L33" s="2">
        <f>K33*Assumptions!$D$30</f>
        <v>0</v>
      </c>
      <c r="O33" s="96"/>
      <c r="P33" s="53">
        <v>2022</v>
      </c>
      <c r="Q33" s="2">
        <f t="shared" si="7"/>
        <v>-10922.327399780566</v>
      </c>
      <c r="R33" s="2">
        <f t="shared" si="8"/>
        <v>0</v>
      </c>
      <c r="S33" s="2">
        <f>R33*Assumptions!$D$30</f>
        <v>0</v>
      </c>
      <c r="V33" s="96"/>
      <c r="W33" s="53">
        <v>2022</v>
      </c>
      <c r="X33" s="2">
        <f t="shared" si="9"/>
        <v>-34870.924877442827</v>
      </c>
      <c r="Y33" s="2">
        <f t="shared" si="10"/>
        <v>0</v>
      </c>
      <c r="Z33" s="2">
        <f>Y33*Assumptions!$D$30</f>
        <v>0</v>
      </c>
    </row>
    <row r="34" spans="1:26" s="61" customFormat="1" x14ac:dyDescent="0.25">
      <c r="A34" s="96"/>
      <c r="B34" s="53">
        <v>2023</v>
      </c>
      <c r="C34" s="2">
        <f t="shared" si="4"/>
        <v>-53299.120466974258</v>
      </c>
      <c r="D34" s="2">
        <f t="shared" si="11"/>
        <v>0</v>
      </c>
      <c r="E34" s="2">
        <f>D34*Assumptions!$D$30</f>
        <v>0</v>
      </c>
      <c r="F34" s="64"/>
      <c r="H34" s="96"/>
      <c r="I34" s="53">
        <v>2023</v>
      </c>
      <c r="J34" s="2">
        <f t="shared" si="5"/>
        <v>-50903.479973725451</v>
      </c>
      <c r="K34" s="2">
        <f t="shared" si="6"/>
        <v>0</v>
      </c>
      <c r="L34" s="2">
        <f>K34*Assumptions!$D$30</f>
        <v>0</v>
      </c>
      <c r="O34" s="96"/>
      <c r="P34" s="53">
        <v>2023</v>
      </c>
      <c r="Q34" s="2">
        <f t="shared" si="7"/>
        <v>-9744.2634224900539</v>
      </c>
      <c r="R34" s="2">
        <f t="shared" si="8"/>
        <v>0</v>
      </c>
      <c r="S34" s="2">
        <f>R34*Assumptions!$D$30</f>
        <v>0</v>
      </c>
      <c r="V34" s="96"/>
      <c r="W34" s="53">
        <v>2023</v>
      </c>
      <c r="X34" s="2">
        <f t="shared" si="9"/>
        <v>-131032.21362490779</v>
      </c>
      <c r="Y34" s="2">
        <f t="shared" si="10"/>
        <v>0</v>
      </c>
      <c r="Z34" s="2">
        <f>Y34*Assumptions!$D$30</f>
        <v>0</v>
      </c>
    </row>
    <row r="35" spans="1:26" s="61" customFormat="1" x14ac:dyDescent="0.25">
      <c r="A35" s="96"/>
      <c r="B35" s="53">
        <v>2024</v>
      </c>
      <c r="C35" s="2">
        <f t="shared" si="4"/>
        <v>7053.636686680351</v>
      </c>
      <c r="D35" s="2">
        <f t="shared" si="11"/>
        <v>24672.314993362808</v>
      </c>
      <c r="E35" s="2">
        <f>D35*Assumptions!$D$30</f>
        <v>156.59758699904734</v>
      </c>
      <c r="H35" s="96"/>
      <c r="I35" s="53">
        <v>2024</v>
      </c>
      <c r="J35" s="2">
        <f t="shared" si="5"/>
        <v>9210.4811863481154</v>
      </c>
      <c r="K35" s="2">
        <f t="shared" si="6"/>
        <v>24672.314993362808</v>
      </c>
      <c r="L35" s="2">
        <f>K35*Assumptions!$D$30</f>
        <v>156.59758699904734</v>
      </c>
      <c r="O35" s="96"/>
      <c r="P35" s="53">
        <v>2024</v>
      </c>
      <c r="Q35" s="2">
        <f t="shared" si="7"/>
        <v>17088.086097804495</v>
      </c>
      <c r="R35" s="2">
        <f t="shared" si="8"/>
        <v>24672.314993362808</v>
      </c>
      <c r="S35" s="2">
        <f>R35*Assumptions!$D$30</f>
        <v>156.59758699904734</v>
      </c>
      <c r="V35" s="96"/>
      <c r="W35" s="53">
        <v>2024</v>
      </c>
      <c r="X35" s="2">
        <f t="shared" si="9"/>
        <v>-14490.78346192505</v>
      </c>
      <c r="Y35" s="2">
        <f t="shared" si="10"/>
        <v>24672.314993362808</v>
      </c>
      <c r="Z35" s="2">
        <f>Y35*Assumptions!$D$30</f>
        <v>156.59758699904734</v>
      </c>
    </row>
    <row r="36" spans="1:26" s="61" customFormat="1" x14ac:dyDescent="0.25">
      <c r="A36" s="96"/>
      <c r="B36" s="53">
        <v>2025</v>
      </c>
      <c r="C36" s="2">
        <f t="shared" si="4"/>
        <v>-18398.904655665101</v>
      </c>
      <c r="D36" s="2">
        <f t="shared" si="11"/>
        <v>24672.314993362808</v>
      </c>
      <c r="E36" s="2">
        <f>D36*Assumptions!$D$30</f>
        <v>156.59758699904734</v>
      </c>
      <c r="H36" s="96"/>
      <c r="I36" s="53">
        <v>2025</v>
      </c>
      <c r="J36" s="2">
        <f t="shared" si="5"/>
        <v>9834.5758402505999</v>
      </c>
      <c r="K36" s="2">
        <f t="shared" si="6"/>
        <v>24672.314993362808</v>
      </c>
      <c r="L36" s="2">
        <f>K36*Assumptions!$D$30</f>
        <v>156.59758699904734</v>
      </c>
      <c r="O36" s="96"/>
      <c r="P36" s="53">
        <v>2025</v>
      </c>
      <c r="Q36" s="2">
        <f t="shared" si="7"/>
        <v>6906.3503075360222</v>
      </c>
      <c r="R36" s="2">
        <f t="shared" si="8"/>
        <v>24672.314993362808</v>
      </c>
      <c r="S36" s="2">
        <f>R36*Assumptions!$D$30</f>
        <v>156.59758699904734</v>
      </c>
      <c r="V36" s="96"/>
      <c r="W36" s="53">
        <v>2025</v>
      </c>
      <c r="X36" s="2">
        <f t="shared" si="9"/>
        <v>-3454.3111346772366</v>
      </c>
      <c r="Y36" s="2">
        <f t="shared" si="10"/>
        <v>24672.314993362808</v>
      </c>
      <c r="Z36" s="2">
        <f>Y36*Assumptions!$D$30</f>
        <v>156.59758699904734</v>
      </c>
    </row>
    <row r="37" spans="1:26" s="61" customFormat="1" x14ac:dyDescent="0.25">
      <c r="A37" s="96"/>
      <c r="B37" s="53">
        <v>2026</v>
      </c>
      <c r="C37" s="2">
        <f t="shared" si="4"/>
        <v>-10137.937375491128</v>
      </c>
      <c r="D37" s="2">
        <f t="shared" si="11"/>
        <v>24672.314993362808</v>
      </c>
      <c r="E37" s="2">
        <f>D37*Assumptions!$D$30</f>
        <v>156.59758699904734</v>
      </c>
      <c r="H37" s="96"/>
      <c r="I37" s="53">
        <v>2026</v>
      </c>
      <c r="J37" s="2">
        <f t="shared" si="5"/>
        <v>10027.729279779502</v>
      </c>
      <c r="K37" s="2">
        <f t="shared" si="6"/>
        <v>24672.314993362808</v>
      </c>
      <c r="L37" s="2">
        <f>K37*Assumptions!$D$30</f>
        <v>156.59758699904734</v>
      </c>
      <c r="O37" s="96"/>
      <c r="P37" s="53">
        <v>2026</v>
      </c>
      <c r="Q37" s="2">
        <f t="shared" si="7"/>
        <v>1368.6370670474607</v>
      </c>
      <c r="R37" s="2">
        <f t="shared" si="8"/>
        <v>24672.314993362808</v>
      </c>
      <c r="S37" s="2">
        <f>R37*Assumptions!$D$30</f>
        <v>156.59758699904734</v>
      </c>
      <c r="V37" s="96"/>
      <c r="W37" s="53">
        <v>2026</v>
      </c>
      <c r="X37" s="2">
        <f t="shared" si="9"/>
        <v>-9483.4189643124846</v>
      </c>
      <c r="Y37" s="2">
        <f t="shared" si="10"/>
        <v>24672.314993362808</v>
      </c>
      <c r="Z37" s="2">
        <f>Y37*Assumptions!$D$30</f>
        <v>156.59758699904734</v>
      </c>
    </row>
    <row r="38" spans="1:26" s="61" customFormat="1" x14ac:dyDescent="0.25">
      <c r="A38" s="96"/>
      <c r="B38" s="53">
        <v>2027</v>
      </c>
      <c r="C38" s="2">
        <f t="shared" si="4"/>
        <v>-6714.2576386821238</v>
      </c>
      <c r="D38" s="2">
        <f t="shared" si="11"/>
        <v>24672.314993362808</v>
      </c>
      <c r="E38" s="2">
        <f>D38*Assumptions!$D$30</f>
        <v>156.59758699904734</v>
      </c>
      <c r="H38" s="96"/>
      <c r="I38" s="53">
        <v>2027</v>
      </c>
      <c r="J38" s="2">
        <f t="shared" si="5"/>
        <v>5872.032008156435</v>
      </c>
      <c r="K38" s="2">
        <f t="shared" si="6"/>
        <v>24672.314993362808</v>
      </c>
      <c r="L38" s="2">
        <f>K38*Assumptions!$D$30</f>
        <v>156.59758699904734</v>
      </c>
      <c r="O38" s="96"/>
      <c r="P38" s="53">
        <v>2027</v>
      </c>
      <c r="Q38" s="2">
        <f t="shared" si="7"/>
        <v>2151.6577468436517</v>
      </c>
      <c r="R38" s="2">
        <f t="shared" si="8"/>
        <v>24672.314993362808</v>
      </c>
      <c r="S38" s="2">
        <f>R38*Assumptions!$D$30</f>
        <v>156.59758699904734</v>
      </c>
      <c r="V38" s="96"/>
      <c r="W38" s="53">
        <v>2027</v>
      </c>
      <c r="X38" s="2">
        <f t="shared" si="9"/>
        <v>-7779.766838195239</v>
      </c>
      <c r="Y38" s="2">
        <f t="shared" si="10"/>
        <v>24672.314993362808</v>
      </c>
      <c r="Z38" s="2">
        <f>Y38*Assumptions!$D$30</f>
        <v>156.59758699904734</v>
      </c>
    </row>
    <row r="39" spans="1:26" s="61" customFormat="1" x14ac:dyDescent="0.25">
      <c r="A39" s="96"/>
      <c r="B39" s="53">
        <v>2028</v>
      </c>
      <c r="C39" s="2">
        <f t="shared" si="4"/>
        <v>-8950.0678273582598</v>
      </c>
      <c r="D39" s="2">
        <f t="shared" si="11"/>
        <v>24672.314993362808</v>
      </c>
      <c r="E39" s="2">
        <f>D39*Assumptions!$D$30</f>
        <v>156.59758699904734</v>
      </c>
      <c r="H39" s="96"/>
      <c r="I39" s="53">
        <v>2028</v>
      </c>
      <c r="J39" s="2">
        <f t="shared" si="5"/>
        <v>5945.7085794025406</v>
      </c>
      <c r="K39" s="2">
        <f t="shared" si="6"/>
        <v>24672.314993362808</v>
      </c>
      <c r="L39" s="2">
        <f>K39*Assumptions!$D$30</f>
        <v>156.59758699904734</v>
      </c>
      <c r="O39" s="96"/>
      <c r="P39" s="53">
        <v>2028</v>
      </c>
      <c r="Q39" s="2">
        <f t="shared" si="7"/>
        <v>1465.812259315815</v>
      </c>
      <c r="R39" s="2">
        <f t="shared" si="8"/>
        <v>24672.314993362808</v>
      </c>
      <c r="S39" s="2">
        <f>R39*Assumptions!$D$30</f>
        <v>156.59758699904734</v>
      </c>
      <c r="V39" s="96"/>
      <c r="W39" s="53">
        <v>2028</v>
      </c>
      <c r="X39" s="2">
        <f t="shared" si="9"/>
        <v>-6638.7304198323691</v>
      </c>
      <c r="Y39" s="2">
        <f t="shared" si="10"/>
        <v>24672.314993362808</v>
      </c>
      <c r="Z39" s="2">
        <f>Y39*Assumptions!$D$30</f>
        <v>156.59758699904734</v>
      </c>
    </row>
    <row r="40" spans="1:26" s="61" customFormat="1" x14ac:dyDescent="0.25">
      <c r="A40" s="96"/>
      <c r="B40" s="53">
        <v>2029</v>
      </c>
      <c r="C40" s="2">
        <f t="shared" si="4"/>
        <v>2918.6005635739275</v>
      </c>
      <c r="D40" s="2">
        <f t="shared" si="11"/>
        <v>24672.314993362808</v>
      </c>
      <c r="E40" s="2">
        <f>D40*Assumptions!$D$30</f>
        <v>156.59758699904734</v>
      </c>
      <c r="H40" s="96"/>
      <c r="I40" s="53">
        <v>2029</v>
      </c>
      <c r="J40" s="2">
        <f t="shared" si="5"/>
        <v>8099.2167110246664</v>
      </c>
      <c r="K40" s="2">
        <f t="shared" si="6"/>
        <v>24672.314993362808</v>
      </c>
      <c r="L40" s="2">
        <f>K40*Assumptions!$D$30</f>
        <v>156.59758699904734</v>
      </c>
      <c r="O40" s="96"/>
      <c r="P40" s="53">
        <v>2029</v>
      </c>
      <c r="Q40" s="2">
        <f t="shared" si="7"/>
        <v>6150.3099261175666</v>
      </c>
      <c r="R40" s="2">
        <f t="shared" si="8"/>
        <v>24672.314993362808</v>
      </c>
      <c r="S40" s="2">
        <f>R40*Assumptions!$D$30</f>
        <v>156.59758699904734</v>
      </c>
      <c r="V40" s="96"/>
      <c r="W40" s="53">
        <v>2029</v>
      </c>
      <c r="X40" s="2">
        <f t="shared" si="9"/>
        <v>35379.975568386522</v>
      </c>
      <c r="Y40" s="2">
        <f t="shared" si="10"/>
        <v>24672.314993362808</v>
      </c>
      <c r="Z40" s="2">
        <f>Y40*Assumptions!$D$30</f>
        <v>156.59758699904734</v>
      </c>
    </row>
    <row r="41" spans="1:26" s="61" customFormat="1" x14ac:dyDescent="0.25">
      <c r="A41" s="96"/>
      <c r="B41" s="53">
        <v>2030</v>
      </c>
      <c r="C41" s="2">
        <f t="shared" si="4"/>
        <v>6102.3340944644006</v>
      </c>
      <c r="D41" s="2">
        <f t="shared" si="11"/>
        <v>24672.314993362808</v>
      </c>
      <c r="E41" s="2">
        <f>D41*Assumptions!$D$30</f>
        <v>156.59758699904734</v>
      </c>
      <c r="H41" s="96"/>
      <c r="I41" s="53">
        <v>2030</v>
      </c>
      <c r="J41" s="2">
        <f t="shared" si="5"/>
        <v>8080.2609741209526</v>
      </c>
      <c r="K41" s="2">
        <f t="shared" si="6"/>
        <v>24672.314993362808</v>
      </c>
      <c r="L41" s="2">
        <f>K41*Assumptions!$D$30</f>
        <v>156.59758699904734</v>
      </c>
      <c r="O41" s="96"/>
      <c r="P41" s="53">
        <v>2030</v>
      </c>
      <c r="Q41" s="2">
        <f t="shared" si="7"/>
        <v>6359.7193170038572</v>
      </c>
      <c r="R41" s="2">
        <f t="shared" si="8"/>
        <v>24672.314993362808</v>
      </c>
      <c r="S41" s="2">
        <f>R41*Assumptions!$D$30</f>
        <v>156.59758699904734</v>
      </c>
      <c r="V41" s="96"/>
      <c r="W41" s="53">
        <v>2030</v>
      </c>
      <c r="X41" s="2">
        <f t="shared" si="9"/>
        <v>30373.214109687047</v>
      </c>
      <c r="Y41" s="2">
        <f t="shared" si="10"/>
        <v>24672.314993362808</v>
      </c>
      <c r="Z41" s="2">
        <f>Y41*Assumptions!$D$30</f>
        <v>156.59758699904734</v>
      </c>
    </row>
    <row r="42" spans="1:26" s="61" customFormat="1" x14ac:dyDescent="0.25">
      <c r="A42" s="96"/>
      <c r="B42" s="53">
        <v>2031</v>
      </c>
      <c r="C42" s="2">
        <f t="shared" si="4"/>
        <v>9486.0236913164917</v>
      </c>
      <c r="D42" s="2">
        <f t="shared" si="11"/>
        <v>24672.314993362808</v>
      </c>
      <c r="E42" s="2">
        <f>D42*Assumptions!$D$30</f>
        <v>156.59758699904734</v>
      </c>
      <c r="H42" s="96"/>
      <c r="I42" s="53">
        <v>2031</v>
      </c>
      <c r="J42" s="2">
        <f t="shared" si="5"/>
        <v>10146.263610814647</v>
      </c>
      <c r="K42" s="2">
        <f t="shared" si="6"/>
        <v>24672.314993362808</v>
      </c>
      <c r="L42" s="2">
        <f>K42*Assumptions!$D$30</f>
        <v>156.59758699904734</v>
      </c>
      <c r="O42" s="96"/>
      <c r="P42" s="53">
        <v>2031</v>
      </c>
      <c r="Q42" s="2">
        <f t="shared" si="7"/>
        <v>6667.3401877444339</v>
      </c>
      <c r="R42" s="2">
        <f t="shared" si="8"/>
        <v>24672.314993362808</v>
      </c>
      <c r="S42" s="2">
        <f>R42*Assumptions!$D$30</f>
        <v>156.59758699904734</v>
      </c>
      <c r="V42" s="96"/>
      <c r="W42" s="53">
        <v>2031</v>
      </c>
      <c r="X42" s="2">
        <f t="shared" si="9"/>
        <v>9355.3719554812997</v>
      </c>
      <c r="Y42" s="2">
        <f t="shared" si="10"/>
        <v>24672.314993362808</v>
      </c>
      <c r="Z42" s="2">
        <f>Y42*Assumptions!$D$30</f>
        <v>156.59758699904734</v>
      </c>
    </row>
    <row r="43" spans="1:26" s="61" customFormat="1" x14ac:dyDescent="0.25">
      <c r="A43" s="96"/>
      <c r="B43" s="53">
        <v>2032</v>
      </c>
      <c r="C43" s="2">
        <f t="shared" si="4"/>
        <v>10877.178567060488</v>
      </c>
      <c r="D43" s="2">
        <f t="shared" si="11"/>
        <v>24672.314993362808</v>
      </c>
      <c r="E43" s="2">
        <f>D43*Assumptions!$D$30</f>
        <v>156.59758699904734</v>
      </c>
      <c r="H43" s="96"/>
      <c r="I43" s="53">
        <v>2032</v>
      </c>
      <c r="J43" s="2">
        <f t="shared" si="5"/>
        <v>8187.0854589048395</v>
      </c>
      <c r="K43" s="2">
        <f t="shared" si="6"/>
        <v>24672.314993362808</v>
      </c>
      <c r="L43" s="2">
        <f>K43*Assumptions!$D$30</f>
        <v>156.59758699904734</v>
      </c>
      <c r="O43" s="96"/>
      <c r="P43" s="53">
        <v>2032</v>
      </c>
      <c r="Q43" s="2">
        <f t="shared" si="7"/>
        <v>4659.6559575131159</v>
      </c>
      <c r="R43" s="2">
        <f t="shared" si="8"/>
        <v>24672.314993362808</v>
      </c>
      <c r="S43" s="2">
        <f>R43*Assumptions!$D$30</f>
        <v>156.59758699904734</v>
      </c>
      <c r="V43" s="96"/>
      <c r="W43" s="53">
        <v>2032</v>
      </c>
      <c r="X43" s="2">
        <f t="shared" si="9"/>
        <v>29813.438506656676</v>
      </c>
      <c r="Y43" s="2">
        <f t="shared" si="10"/>
        <v>24672.314993362808</v>
      </c>
      <c r="Z43" s="2">
        <f>Y43*Assumptions!$D$30</f>
        <v>156.59758699904734</v>
      </c>
    </row>
    <row r="44" spans="1:26" s="61" customFormat="1" x14ac:dyDescent="0.25">
      <c r="A44" s="97"/>
      <c r="B44" s="53" t="s">
        <v>44</v>
      </c>
      <c r="C44" s="2">
        <f>-PV($B$2,(Network_option_lifespan-(B43-Option_B3_Year)),AVERAGE(C41:C43),,0)</f>
        <v>134308.56820809279</v>
      </c>
      <c r="D44" s="2">
        <f>-PV($B$2,($B$4-COUNTIF(D31:D43,"&gt;"&amp;0)),$D$43,,0)</f>
        <v>290247.00400647247</v>
      </c>
      <c r="E44" s="2">
        <f>-PV($B$2,($B$4-COUNTIF(E31:E43,"&gt;"&amp;0)),$E$43,,0)</f>
        <v>1842.2260121656041</v>
      </c>
      <c r="H44" s="97"/>
      <c r="I44" s="53" t="s">
        <v>44</v>
      </c>
      <c r="J44" s="2">
        <f>-PV($B$2,(Network_option_lifespan-(I43-Option_B3_Year)),AVERAGE(J41:J43),,0)</f>
        <v>134045.05009452548</v>
      </c>
      <c r="K44" s="2">
        <f>-PV($B$2,($B$4-COUNTIF(K31:K43,"&gt;"&amp;0)),$D$43,,0)</f>
        <v>290247.00400647247</v>
      </c>
      <c r="L44" s="2">
        <f>-PV($B$2,($B$4-COUNTIF(L31:L43,"&gt;"&amp;0)),$E$43,,0)</f>
        <v>1842.2260121656041</v>
      </c>
      <c r="O44" s="97"/>
      <c r="P44" s="53" t="s">
        <v>44</v>
      </c>
      <c r="Q44" s="2">
        <f>-PV($B$2,(Network_option_lifespan-(P43-Option_B3_Year)),AVERAGE(Q41:Q43),,0)</f>
        <v>89757.388566403664</v>
      </c>
      <c r="R44" s="2">
        <f>-PV($B$2,($B$4-COUNTIF(R31:R43,"&gt;"&amp;0)),$D$43,,0)</f>
        <v>290247.00400647247</v>
      </c>
      <c r="S44" s="2">
        <f>-PV($B$2,($B$4-COUNTIF(S31:S43,"&gt;"&amp;0)),$E$43,,0)</f>
        <v>1842.2260121656041</v>
      </c>
      <c r="V44" s="97"/>
      <c r="W44" s="53" t="s">
        <v>44</v>
      </c>
      <c r="X44" s="2">
        <f>-PV($B$2,(Network_option_lifespan-(W43-Option_B3_Year)),AVERAGE(X41:X43),,0)</f>
        <v>352915.18849309318</v>
      </c>
      <c r="Y44" s="2">
        <f>-PV($B$2,($B$4-COUNTIF(Y31:Y43,"&gt;"&amp;0)),$D$43,,0)</f>
        <v>290247.00400647247</v>
      </c>
      <c r="Z44" s="2">
        <f>-PV($B$2,($B$4-COUNTIF(Z31:Z43,"&gt;"&amp;0)),$E$43,,0)</f>
        <v>1842.2260121656041</v>
      </c>
    </row>
    <row r="45" spans="1:26" s="61" customFormat="1" x14ac:dyDescent="0.25"/>
    <row r="46" spans="1:26" s="61" customFormat="1" x14ac:dyDescent="0.25">
      <c r="A46" s="62" t="s">
        <v>82</v>
      </c>
    </row>
    <row r="47" spans="1:26" s="61" customFormat="1" x14ac:dyDescent="0.25">
      <c r="A47" s="46" t="s">
        <v>9</v>
      </c>
      <c r="B47" s="27"/>
      <c r="C47" s="60"/>
      <c r="D47" s="27"/>
      <c r="E47" s="60">
        <f>NPV($B$2,C49:C69)</f>
        <v>0</v>
      </c>
      <c r="H47" s="46" t="s">
        <v>89</v>
      </c>
      <c r="I47" s="27"/>
      <c r="J47" s="60"/>
      <c r="K47" s="27"/>
      <c r="L47" s="60">
        <f>NPV($B$2,J49:J69)</f>
        <v>0</v>
      </c>
      <c r="O47" s="46" t="s">
        <v>20</v>
      </c>
      <c r="P47" s="27"/>
      <c r="Q47" s="60"/>
      <c r="R47" s="27"/>
      <c r="S47" s="60">
        <f>NPV($B$2,Q49:Q69)</f>
        <v>0</v>
      </c>
      <c r="V47" s="46" t="s">
        <v>21</v>
      </c>
      <c r="W47" s="27"/>
      <c r="X47" s="60"/>
      <c r="Y47" s="27"/>
      <c r="Z47" s="60">
        <f>NPV($B$2,X49:X69)</f>
        <v>0</v>
      </c>
    </row>
    <row r="48" spans="1:26" s="61" customFormat="1" x14ac:dyDescent="0.25">
      <c r="A48" s="13" t="s">
        <v>0</v>
      </c>
      <c r="B48" s="13" t="s">
        <v>1</v>
      </c>
      <c r="C48" s="13" t="s">
        <v>26</v>
      </c>
      <c r="D48" s="13" t="s">
        <v>27</v>
      </c>
      <c r="E48" s="53" t="s">
        <v>28</v>
      </c>
      <c r="F48" s="63"/>
      <c r="H48" s="13" t="s">
        <v>0</v>
      </c>
      <c r="I48" s="13" t="s">
        <v>1</v>
      </c>
      <c r="J48" s="13" t="s">
        <v>26</v>
      </c>
      <c r="K48" s="13" t="s">
        <v>27</v>
      </c>
      <c r="L48" s="53" t="s">
        <v>28</v>
      </c>
      <c r="M48" s="63"/>
      <c r="N48" s="63"/>
      <c r="O48" s="13" t="s">
        <v>0</v>
      </c>
      <c r="P48" s="13" t="s">
        <v>1</v>
      </c>
      <c r="Q48" s="13" t="s">
        <v>26</v>
      </c>
      <c r="R48" s="13" t="s">
        <v>27</v>
      </c>
      <c r="S48" s="53" t="s">
        <v>28</v>
      </c>
      <c r="V48" s="13" t="s">
        <v>0</v>
      </c>
      <c r="W48" s="13" t="s">
        <v>1</v>
      </c>
      <c r="X48" s="13" t="s">
        <v>26</v>
      </c>
      <c r="Y48" s="13" t="s">
        <v>27</v>
      </c>
      <c r="Z48" s="53" t="s">
        <v>28</v>
      </c>
    </row>
    <row r="49" spans="1:26" s="61" customFormat="1" x14ac:dyDescent="0.25">
      <c r="A49" s="95" t="s">
        <v>10</v>
      </c>
      <c r="B49" s="13">
        <v>2020</v>
      </c>
      <c r="C49" s="2">
        <v>0</v>
      </c>
      <c r="D49" s="2">
        <v>0</v>
      </c>
      <c r="E49" s="2">
        <v>0</v>
      </c>
      <c r="F49" s="66"/>
      <c r="H49" s="95" t="s">
        <v>10</v>
      </c>
      <c r="I49" s="13">
        <v>2020</v>
      </c>
      <c r="J49" s="2">
        <v>0</v>
      </c>
      <c r="K49" s="2">
        <v>0</v>
      </c>
      <c r="L49" s="2">
        <v>0</v>
      </c>
      <c r="M49" s="63"/>
      <c r="N49" s="63"/>
      <c r="O49" s="95" t="s">
        <v>10</v>
      </c>
      <c r="P49" s="13">
        <v>2020</v>
      </c>
      <c r="Q49" s="2">
        <v>0</v>
      </c>
      <c r="R49" s="2">
        <v>0</v>
      </c>
      <c r="S49" s="2">
        <v>0</v>
      </c>
      <c r="V49" s="95" t="s">
        <v>10</v>
      </c>
      <c r="W49" s="13">
        <v>2020</v>
      </c>
      <c r="X49" s="2">
        <v>0</v>
      </c>
      <c r="Y49" s="2">
        <v>0</v>
      </c>
      <c r="Z49" s="2">
        <v>0</v>
      </c>
    </row>
    <row r="50" spans="1:26" s="61" customFormat="1" x14ac:dyDescent="0.25">
      <c r="A50" s="96"/>
      <c r="B50" s="53">
        <v>2021</v>
      </c>
      <c r="C50" s="2">
        <v>0</v>
      </c>
      <c r="D50" s="2">
        <v>0</v>
      </c>
      <c r="E50" s="2">
        <v>0</v>
      </c>
      <c r="H50" s="96" t="s">
        <v>10</v>
      </c>
      <c r="I50" s="53">
        <v>2021</v>
      </c>
      <c r="J50" s="2">
        <v>0</v>
      </c>
      <c r="K50" s="2">
        <v>0</v>
      </c>
      <c r="L50" s="2">
        <v>0</v>
      </c>
      <c r="O50" s="96" t="s">
        <v>10</v>
      </c>
      <c r="P50" s="53">
        <v>2021</v>
      </c>
      <c r="Q50" s="2">
        <v>0</v>
      </c>
      <c r="R50" s="2">
        <v>0</v>
      </c>
      <c r="S50" s="2">
        <v>0</v>
      </c>
      <c r="V50" s="96" t="s">
        <v>10</v>
      </c>
      <c r="W50" s="53">
        <v>2021</v>
      </c>
      <c r="X50" s="2">
        <v>0</v>
      </c>
      <c r="Y50" s="2">
        <v>0</v>
      </c>
      <c r="Z50" s="2">
        <v>0</v>
      </c>
    </row>
    <row r="51" spans="1:26" s="61" customFormat="1" x14ac:dyDescent="0.25">
      <c r="A51" s="96"/>
      <c r="B51" s="53">
        <v>2022</v>
      </c>
      <c r="C51" s="2">
        <v>0</v>
      </c>
      <c r="D51" s="2">
        <v>0</v>
      </c>
      <c r="E51" s="2">
        <v>0</v>
      </c>
      <c r="H51" s="96"/>
      <c r="I51" s="53">
        <v>2022</v>
      </c>
      <c r="J51" s="2">
        <v>0</v>
      </c>
      <c r="K51" s="2">
        <v>0</v>
      </c>
      <c r="L51" s="2">
        <v>0</v>
      </c>
      <c r="O51" s="96"/>
      <c r="P51" s="53">
        <v>2022</v>
      </c>
      <c r="Q51" s="2">
        <v>0</v>
      </c>
      <c r="R51" s="2">
        <v>0</v>
      </c>
      <c r="S51" s="2">
        <v>0</v>
      </c>
      <c r="V51" s="96"/>
      <c r="W51" s="53">
        <v>2022</v>
      </c>
      <c r="X51" s="2">
        <v>0</v>
      </c>
      <c r="Y51" s="2">
        <v>0</v>
      </c>
      <c r="Z51" s="2">
        <v>0</v>
      </c>
    </row>
    <row r="52" spans="1:26" s="61" customFormat="1" x14ac:dyDescent="0.25">
      <c r="A52" s="96"/>
      <c r="B52" s="53">
        <v>2023</v>
      </c>
      <c r="C52" s="2">
        <v>0</v>
      </c>
      <c r="D52" s="2">
        <v>0</v>
      </c>
      <c r="E52" s="2">
        <v>0</v>
      </c>
      <c r="H52" s="96"/>
      <c r="I52" s="53">
        <v>2023</v>
      </c>
      <c r="J52" s="2">
        <v>0</v>
      </c>
      <c r="K52" s="2">
        <v>0</v>
      </c>
      <c r="L52" s="2">
        <v>0</v>
      </c>
      <c r="O52" s="96"/>
      <c r="P52" s="53">
        <v>2023</v>
      </c>
      <c r="Q52" s="2">
        <v>0</v>
      </c>
      <c r="R52" s="2">
        <v>0</v>
      </c>
      <c r="S52" s="2">
        <v>0</v>
      </c>
      <c r="V52" s="96"/>
      <c r="W52" s="53">
        <v>2023</v>
      </c>
      <c r="X52" s="2">
        <v>0</v>
      </c>
      <c r="Y52" s="2">
        <v>0</v>
      </c>
      <c r="Z52" s="2">
        <v>0</v>
      </c>
    </row>
    <row r="53" spans="1:26" s="61" customFormat="1" x14ac:dyDescent="0.25">
      <c r="A53" s="96"/>
      <c r="B53" s="53">
        <v>2024</v>
      </c>
      <c r="C53" s="2">
        <v>0</v>
      </c>
      <c r="D53" s="2">
        <v>0</v>
      </c>
      <c r="E53" s="2">
        <v>0</v>
      </c>
      <c r="H53" s="96"/>
      <c r="I53" s="53">
        <v>2024</v>
      </c>
      <c r="J53" s="2">
        <v>0</v>
      </c>
      <c r="K53" s="2">
        <v>0</v>
      </c>
      <c r="L53" s="2">
        <v>0</v>
      </c>
      <c r="O53" s="96"/>
      <c r="P53" s="53">
        <v>2024</v>
      </c>
      <c r="Q53" s="2">
        <v>0</v>
      </c>
      <c r="R53" s="2">
        <v>0</v>
      </c>
      <c r="S53" s="2">
        <v>0</v>
      </c>
      <c r="V53" s="96"/>
      <c r="W53" s="53">
        <v>2024</v>
      </c>
      <c r="X53" s="2">
        <v>0</v>
      </c>
      <c r="Y53" s="2">
        <v>0</v>
      </c>
      <c r="Z53" s="2">
        <v>0</v>
      </c>
    </row>
    <row r="54" spans="1:26" s="61" customFormat="1" x14ac:dyDescent="0.25">
      <c r="A54" s="96"/>
      <c r="B54" s="53">
        <v>2025</v>
      </c>
      <c r="C54" s="2">
        <v>0</v>
      </c>
      <c r="D54" s="2">
        <v>0</v>
      </c>
      <c r="E54" s="2">
        <v>0</v>
      </c>
      <c r="H54" s="96"/>
      <c r="I54" s="53">
        <v>2025</v>
      </c>
      <c r="J54" s="2">
        <v>0</v>
      </c>
      <c r="K54" s="2">
        <v>0</v>
      </c>
      <c r="L54" s="2">
        <v>0</v>
      </c>
      <c r="O54" s="96"/>
      <c r="P54" s="53">
        <v>2025</v>
      </c>
      <c r="Q54" s="2">
        <v>0</v>
      </c>
      <c r="R54" s="2">
        <v>0</v>
      </c>
      <c r="S54" s="2">
        <v>0</v>
      </c>
      <c r="V54" s="96"/>
      <c r="W54" s="53">
        <v>2025</v>
      </c>
      <c r="X54" s="2">
        <v>0</v>
      </c>
      <c r="Y54" s="2">
        <v>0</v>
      </c>
      <c r="Z54" s="2">
        <v>0</v>
      </c>
    </row>
    <row r="55" spans="1:26" s="61" customFormat="1" x14ac:dyDescent="0.25">
      <c r="A55" s="96"/>
      <c r="B55" s="53">
        <v>2026</v>
      </c>
      <c r="C55" s="2">
        <v>0</v>
      </c>
      <c r="D55" s="2">
        <v>0</v>
      </c>
      <c r="E55" s="2">
        <v>0</v>
      </c>
      <c r="H55" s="96"/>
      <c r="I55" s="53">
        <v>2026</v>
      </c>
      <c r="J55" s="2">
        <v>0</v>
      </c>
      <c r="K55" s="2">
        <v>0</v>
      </c>
      <c r="L55" s="2">
        <v>0</v>
      </c>
      <c r="O55" s="96"/>
      <c r="P55" s="53">
        <v>2026</v>
      </c>
      <c r="Q55" s="2">
        <v>0</v>
      </c>
      <c r="R55" s="2">
        <v>0</v>
      </c>
      <c r="S55" s="2">
        <v>0</v>
      </c>
      <c r="V55" s="96"/>
      <c r="W55" s="53">
        <v>2026</v>
      </c>
      <c r="X55" s="2">
        <v>0</v>
      </c>
      <c r="Y55" s="2">
        <v>0</v>
      </c>
      <c r="Z55" s="2">
        <v>0</v>
      </c>
    </row>
    <row r="56" spans="1:26" s="61" customFormat="1" x14ac:dyDescent="0.25">
      <c r="A56" s="96"/>
      <c r="B56" s="53">
        <v>2027</v>
      </c>
      <c r="C56" s="2">
        <v>0</v>
      </c>
      <c r="D56" s="2">
        <v>0</v>
      </c>
      <c r="E56" s="2">
        <v>0</v>
      </c>
      <c r="H56" s="96"/>
      <c r="I56" s="53">
        <v>2027</v>
      </c>
      <c r="J56" s="2">
        <v>0</v>
      </c>
      <c r="K56" s="2">
        <v>0</v>
      </c>
      <c r="L56" s="2">
        <v>0</v>
      </c>
      <c r="O56" s="96"/>
      <c r="P56" s="53">
        <v>2027</v>
      </c>
      <c r="Q56" s="2">
        <v>0</v>
      </c>
      <c r="R56" s="2">
        <v>0</v>
      </c>
      <c r="S56" s="2">
        <v>0</v>
      </c>
      <c r="V56" s="96"/>
      <c r="W56" s="53">
        <v>2027</v>
      </c>
      <c r="X56" s="2">
        <v>0</v>
      </c>
      <c r="Y56" s="2">
        <v>0</v>
      </c>
      <c r="Z56" s="2">
        <v>0</v>
      </c>
    </row>
    <row r="57" spans="1:26" s="61" customFormat="1" x14ac:dyDescent="0.25">
      <c r="A57" s="96"/>
      <c r="B57" s="53">
        <v>2028</v>
      </c>
      <c r="C57" s="2">
        <v>0</v>
      </c>
      <c r="D57" s="2">
        <v>0</v>
      </c>
      <c r="E57" s="2">
        <v>0</v>
      </c>
      <c r="H57" s="96"/>
      <c r="I57" s="53">
        <v>2028</v>
      </c>
      <c r="J57" s="2">
        <v>0</v>
      </c>
      <c r="K57" s="2">
        <v>0</v>
      </c>
      <c r="L57" s="2">
        <v>0</v>
      </c>
      <c r="O57" s="96"/>
      <c r="P57" s="53">
        <v>2028</v>
      </c>
      <c r="Q57" s="2">
        <v>0</v>
      </c>
      <c r="R57" s="2">
        <v>0</v>
      </c>
      <c r="S57" s="2">
        <v>0</v>
      </c>
      <c r="V57" s="96"/>
      <c r="W57" s="53">
        <v>2028</v>
      </c>
      <c r="X57" s="2">
        <v>0</v>
      </c>
      <c r="Y57" s="2">
        <v>0</v>
      </c>
      <c r="Z57" s="2">
        <v>0</v>
      </c>
    </row>
    <row r="58" spans="1:26" s="61" customFormat="1" x14ac:dyDescent="0.25">
      <c r="A58" s="96"/>
      <c r="B58" s="53">
        <v>2029</v>
      </c>
      <c r="C58" s="2">
        <v>0</v>
      </c>
      <c r="D58" s="2">
        <v>0</v>
      </c>
      <c r="E58" s="2">
        <v>0</v>
      </c>
      <c r="H58" s="96"/>
      <c r="I58" s="53">
        <v>2029</v>
      </c>
      <c r="J58" s="2">
        <v>0</v>
      </c>
      <c r="K58" s="2">
        <v>0</v>
      </c>
      <c r="L58" s="2">
        <v>0</v>
      </c>
      <c r="O58" s="96"/>
      <c r="P58" s="53">
        <v>2029</v>
      </c>
      <c r="Q58" s="2">
        <v>0</v>
      </c>
      <c r="R58" s="2">
        <v>0</v>
      </c>
      <c r="S58" s="2">
        <v>0</v>
      </c>
      <c r="V58" s="96"/>
      <c r="W58" s="53">
        <v>2029</v>
      </c>
      <c r="X58" s="2">
        <v>0</v>
      </c>
      <c r="Y58" s="2">
        <v>0</v>
      </c>
      <c r="Z58" s="2">
        <v>0</v>
      </c>
    </row>
    <row r="59" spans="1:26" s="61" customFormat="1" x14ac:dyDescent="0.25">
      <c r="A59" s="96"/>
      <c r="B59" s="53">
        <v>2030</v>
      </c>
      <c r="C59" s="2">
        <v>0</v>
      </c>
      <c r="D59" s="2">
        <v>0</v>
      </c>
      <c r="E59" s="2">
        <v>0</v>
      </c>
      <c r="H59" s="96"/>
      <c r="I59" s="53">
        <v>2030</v>
      </c>
      <c r="J59" s="2">
        <v>0</v>
      </c>
      <c r="K59" s="2">
        <v>0</v>
      </c>
      <c r="L59" s="2">
        <v>0</v>
      </c>
      <c r="O59" s="96"/>
      <c r="P59" s="53">
        <v>2030</v>
      </c>
      <c r="Q59" s="2">
        <v>0</v>
      </c>
      <c r="R59" s="2">
        <v>0</v>
      </c>
      <c r="S59" s="2">
        <v>0</v>
      </c>
      <c r="V59" s="96"/>
      <c r="W59" s="53">
        <v>2030</v>
      </c>
      <c r="X59" s="2">
        <v>0</v>
      </c>
      <c r="Y59" s="2">
        <v>0</v>
      </c>
      <c r="Z59" s="2">
        <v>0</v>
      </c>
    </row>
    <row r="60" spans="1:26" s="61" customFormat="1" x14ac:dyDescent="0.25">
      <c r="A60" s="96"/>
      <c r="B60" s="53">
        <v>2031</v>
      </c>
      <c r="C60" s="2">
        <v>0</v>
      </c>
      <c r="D60" s="2">
        <v>0</v>
      </c>
      <c r="E60" s="2">
        <v>0</v>
      </c>
      <c r="H60" s="96"/>
      <c r="I60" s="53">
        <v>2031</v>
      </c>
      <c r="J60" s="2">
        <v>0</v>
      </c>
      <c r="K60" s="2">
        <v>0</v>
      </c>
      <c r="L60" s="2">
        <v>0</v>
      </c>
      <c r="O60" s="96"/>
      <c r="P60" s="53">
        <v>2031</v>
      </c>
      <c r="Q60" s="2">
        <v>0</v>
      </c>
      <c r="R60" s="2">
        <v>0</v>
      </c>
      <c r="S60" s="2">
        <v>0</v>
      </c>
      <c r="V60" s="96"/>
      <c r="W60" s="53">
        <v>2031</v>
      </c>
      <c r="X60" s="2">
        <v>0</v>
      </c>
      <c r="Y60" s="2">
        <v>0</v>
      </c>
      <c r="Z60" s="2">
        <v>0</v>
      </c>
    </row>
    <row r="61" spans="1:26" s="61" customFormat="1" x14ac:dyDescent="0.25">
      <c r="A61" s="96"/>
      <c r="B61" s="53">
        <v>2032</v>
      </c>
      <c r="C61" s="2">
        <v>0</v>
      </c>
      <c r="D61" s="2">
        <v>0</v>
      </c>
      <c r="E61" s="2">
        <v>0</v>
      </c>
      <c r="H61" s="96"/>
      <c r="I61" s="53">
        <v>2032</v>
      </c>
      <c r="J61" s="2">
        <v>0</v>
      </c>
      <c r="K61" s="2">
        <v>0</v>
      </c>
      <c r="L61" s="2">
        <v>0</v>
      </c>
      <c r="O61" s="96"/>
      <c r="P61" s="53">
        <v>2032</v>
      </c>
      <c r="Q61" s="2">
        <v>0</v>
      </c>
      <c r="R61" s="2">
        <v>0</v>
      </c>
      <c r="S61" s="2">
        <v>0</v>
      </c>
      <c r="V61" s="96"/>
      <c r="W61" s="53">
        <v>2032</v>
      </c>
      <c r="X61" s="2">
        <v>0</v>
      </c>
      <c r="Y61" s="2">
        <v>0</v>
      </c>
      <c r="Z61" s="2">
        <v>0</v>
      </c>
    </row>
    <row r="62" spans="1:26" s="61" customFormat="1" x14ac:dyDescent="0.25">
      <c r="A62" s="96"/>
      <c r="B62" s="53">
        <v>2033</v>
      </c>
      <c r="C62" s="2">
        <v>0</v>
      </c>
      <c r="D62" s="2">
        <v>0</v>
      </c>
      <c r="E62" s="2">
        <v>0</v>
      </c>
      <c r="H62" s="96"/>
      <c r="I62" s="53">
        <v>2033</v>
      </c>
      <c r="J62" s="2">
        <v>0</v>
      </c>
      <c r="K62" s="2">
        <v>0</v>
      </c>
      <c r="L62" s="2">
        <v>0</v>
      </c>
      <c r="O62" s="96"/>
      <c r="P62" s="53">
        <v>2033</v>
      </c>
      <c r="Q62" s="2">
        <v>0</v>
      </c>
      <c r="R62" s="2">
        <v>0</v>
      </c>
      <c r="S62" s="2">
        <v>0</v>
      </c>
      <c r="V62" s="96"/>
      <c r="W62" s="53">
        <v>2033</v>
      </c>
      <c r="X62" s="2">
        <v>0</v>
      </c>
      <c r="Y62" s="2">
        <v>0</v>
      </c>
      <c r="Z62" s="2">
        <v>0</v>
      </c>
    </row>
    <row r="63" spans="1:26" s="61" customFormat="1" x14ac:dyDescent="0.25">
      <c r="A63" s="96"/>
      <c r="B63" s="53">
        <v>2034</v>
      </c>
      <c r="C63" s="2">
        <v>0</v>
      </c>
      <c r="D63" s="2">
        <v>0</v>
      </c>
      <c r="E63" s="2">
        <v>0</v>
      </c>
      <c r="H63" s="96"/>
      <c r="I63" s="53">
        <v>2034</v>
      </c>
      <c r="J63" s="2">
        <v>0</v>
      </c>
      <c r="K63" s="2">
        <v>0</v>
      </c>
      <c r="L63" s="2">
        <v>0</v>
      </c>
      <c r="O63" s="96"/>
      <c r="P63" s="53">
        <v>2034</v>
      </c>
      <c r="Q63" s="2">
        <v>0</v>
      </c>
      <c r="R63" s="2">
        <v>0</v>
      </c>
      <c r="S63" s="2">
        <v>0</v>
      </c>
      <c r="V63" s="96"/>
      <c r="W63" s="53">
        <v>2034</v>
      </c>
      <c r="X63" s="2">
        <v>0</v>
      </c>
      <c r="Y63" s="2">
        <v>0</v>
      </c>
      <c r="Z63" s="2">
        <v>0</v>
      </c>
    </row>
    <row r="64" spans="1:26" s="61" customFormat="1" x14ac:dyDescent="0.25">
      <c r="A64" s="96"/>
      <c r="B64" s="53">
        <v>2035</v>
      </c>
      <c r="C64" s="2">
        <v>0</v>
      </c>
      <c r="D64" s="2">
        <v>0</v>
      </c>
      <c r="E64" s="2">
        <v>0</v>
      </c>
      <c r="H64" s="96"/>
      <c r="I64" s="53">
        <v>2035</v>
      </c>
      <c r="J64" s="2">
        <v>0</v>
      </c>
      <c r="K64" s="2">
        <v>0</v>
      </c>
      <c r="L64" s="2">
        <v>0</v>
      </c>
      <c r="O64" s="96"/>
      <c r="P64" s="53">
        <v>2035</v>
      </c>
      <c r="Q64" s="2">
        <v>0</v>
      </c>
      <c r="R64" s="2">
        <v>0</v>
      </c>
      <c r="S64" s="2">
        <v>0</v>
      </c>
      <c r="V64" s="96"/>
      <c r="W64" s="53">
        <v>2035</v>
      </c>
      <c r="X64" s="2">
        <v>0</v>
      </c>
      <c r="Y64" s="2">
        <v>0</v>
      </c>
      <c r="Z64" s="2">
        <v>0</v>
      </c>
    </row>
    <row r="65" spans="1:27" s="61" customFormat="1" x14ac:dyDescent="0.25">
      <c r="A65" s="96"/>
      <c r="B65" s="53">
        <v>2036</v>
      </c>
      <c r="C65" s="2">
        <v>0</v>
      </c>
      <c r="D65" s="2">
        <v>0</v>
      </c>
      <c r="E65" s="2">
        <v>0</v>
      </c>
      <c r="H65" s="96"/>
      <c r="I65" s="53">
        <v>2036</v>
      </c>
      <c r="J65" s="2">
        <v>0</v>
      </c>
      <c r="K65" s="2">
        <v>0</v>
      </c>
      <c r="L65" s="2">
        <v>0</v>
      </c>
      <c r="O65" s="96"/>
      <c r="P65" s="53">
        <v>2036</v>
      </c>
      <c r="Q65" s="2">
        <v>0</v>
      </c>
      <c r="R65" s="2">
        <v>0</v>
      </c>
      <c r="S65" s="2">
        <v>0</v>
      </c>
      <c r="V65" s="96"/>
      <c r="W65" s="53">
        <v>2036</v>
      </c>
      <c r="X65" s="2">
        <v>0</v>
      </c>
      <c r="Y65" s="2">
        <v>0</v>
      </c>
      <c r="Z65" s="2">
        <v>0</v>
      </c>
    </row>
    <row r="66" spans="1:27" s="61" customFormat="1" x14ac:dyDescent="0.25">
      <c r="A66" s="96"/>
      <c r="B66" s="53">
        <v>2037</v>
      </c>
      <c r="C66" s="2">
        <v>0</v>
      </c>
      <c r="D66" s="2">
        <v>0</v>
      </c>
      <c r="E66" s="2">
        <v>0</v>
      </c>
      <c r="H66" s="96"/>
      <c r="I66" s="53">
        <v>2037</v>
      </c>
      <c r="J66" s="2">
        <v>0</v>
      </c>
      <c r="K66" s="2">
        <v>0</v>
      </c>
      <c r="L66" s="2">
        <v>0</v>
      </c>
      <c r="O66" s="96"/>
      <c r="P66" s="53">
        <v>2037</v>
      </c>
      <c r="Q66" s="2">
        <v>0</v>
      </c>
      <c r="R66" s="2">
        <v>0</v>
      </c>
      <c r="S66" s="2">
        <v>0</v>
      </c>
      <c r="V66" s="96"/>
      <c r="W66" s="53">
        <v>2037</v>
      </c>
      <c r="X66" s="2">
        <v>0</v>
      </c>
      <c r="Y66" s="2">
        <v>0</v>
      </c>
      <c r="Z66" s="2">
        <v>0</v>
      </c>
    </row>
    <row r="67" spans="1:27" s="61" customFormat="1" x14ac:dyDescent="0.25">
      <c r="A67" s="96"/>
      <c r="B67" s="53">
        <v>2038</v>
      </c>
      <c r="C67" s="2">
        <v>0</v>
      </c>
      <c r="D67" s="2">
        <v>0</v>
      </c>
      <c r="E67" s="2">
        <v>0</v>
      </c>
      <c r="H67" s="96"/>
      <c r="I67" s="53">
        <v>2038</v>
      </c>
      <c r="J67" s="2">
        <v>0</v>
      </c>
      <c r="K67" s="2">
        <v>0</v>
      </c>
      <c r="L67" s="2">
        <v>0</v>
      </c>
      <c r="O67" s="96"/>
      <c r="P67" s="53">
        <v>2038</v>
      </c>
      <c r="Q67" s="2">
        <v>0</v>
      </c>
      <c r="R67" s="2">
        <v>0</v>
      </c>
      <c r="S67" s="2">
        <v>0</v>
      </c>
      <c r="V67" s="96"/>
      <c r="W67" s="53">
        <v>2038</v>
      </c>
      <c r="X67" s="2">
        <v>0</v>
      </c>
      <c r="Y67" s="2">
        <v>0</v>
      </c>
      <c r="Z67" s="2">
        <v>0</v>
      </c>
    </row>
    <row r="68" spans="1:27" s="61" customFormat="1" x14ac:dyDescent="0.25">
      <c r="A68" s="96"/>
      <c r="B68" s="53">
        <v>2039</v>
      </c>
      <c r="C68" s="2">
        <v>0</v>
      </c>
      <c r="D68" s="2">
        <v>0</v>
      </c>
      <c r="E68" s="2">
        <v>0</v>
      </c>
      <c r="H68" s="96"/>
      <c r="I68" s="53">
        <v>2039</v>
      </c>
      <c r="J68" s="2">
        <v>0</v>
      </c>
      <c r="K68" s="2">
        <v>0</v>
      </c>
      <c r="L68" s="2">
        <v>0</v>
      </c>
      <c r="O68" s="96"/>
      <c r="P68" s="53">
        <v>2039</v>
      </c>
      <c r="Q68" s="2">
        <v>0</v>
      </c>
      <c r="R68" s="2">
        <v>0</v>
      </c>
      <c r="S68" s="2">
        <v>0</v>
      </c>
      <c r="V68" s="96"/>
      <c r="W68" s="53">
        <v>2039</v>
      </c>
      <c r="X68" s="2">
        <v>0</v>
      </c>
      <c r="Y68" s="2">
        <v>0</v>
      </c>
      <c r="Z68" s="2">
        <v>0</v>
      </c>
    </row>
    <row r="69" spans="1:27" s="61" customFormat="1" x14ac:dyDescent="0.25">
      <c r="A69" s="97"/>
      <c r="B69" s="53">
        <v>2040</v>
      </c>
      <c r="C69" s="2">
        <v>0</v>
      </c>
      <c r="D69" s="2">
        <v>0</v>
      </c>
      <c r="E69" s="2">
        <v>0</v>
      </c>
      <c r="H69" s="97"/>
      <c r="I69" s="53">
        <v>2040</v>
      </c>
      <c r="J69" s="2">
        <v>0</v>
      </c>
      <c r="K69" s="2">
        <v>0</v>
      </c>
      <c r="L69" s="2">
        <v>0</v>
      </c>
      <c r="O69" s="97"/>
      <c r="P69" s="53">
        <v>2040</v>
      </c>
      <c r="Q69" s="2">
        <v>0</v>
      </c>
      <c r="R69" s="2">
        <v>0</v>
      </c>
      <c r="S69" s="2">
        <v>0</v>
      </c>
      <c r="V69" s="97"/>
      <c r="W69" s="53">
        <v>2040</v>
      </c>
      <c r="X69" s="2">
        <v>0</v>
      </c>
      <c r="Y69" s="2">
        <v>0</v>
      </c>
      <c r="Z69" s="2">
        <v>0</v>
      </c>
    </row>
    <row r="70" spans="1:27" s="61" customFormat="1" x14ac:dyDescent="0.25">
      <c r="A70" s="41"/>
      <c r="B70" s="65"/>
      <c r="C70" s="4"/>
      <c r="D70" s="4"/>
      <c r="E70" s="4"/>
      <c r="H70" s="41"/>
      <c r="I70" s="65"/>
      <c r="J70" s="4"/>
      <c r="K70" s="4"/>
      <c r="L70" s="4"/>
      <c r="O70" s="41"/>
      <c r="P70" s="65"/>
      <c r="Q70" s="4"/>
      <c r="R70" s="4"/>
      <c r="S70" s="4"/>
      <c r="V70" s="41"/>
      <c r="W70" s="65"/>
      <c r="X70" s="4"/>
      <c r="Y70" s="4"/>
      <c r="Z70" s="4"/>
    </row>
    <row r="71" spans="1:27" s="82" customFormat="1" x14ac:dyDescent="0.25">
      <c r="A71" s="73" t="s">
        <v>64</v>
      </c>
      <c r="B71" s="65"/>
      <c r="C71" s="4"/>
      <c r="D71" s="4"/>
      <c r="E71" s="4"/>
      <c r="H71" s="73"/>
      <c r="I71" s="65"/>
      <c r="J71" s="4"/>
      <c r="K71" s="4"/>
      <c r="L71" s="4"/>
      <c r="O71" s="73"/>
      <c r="P71" s="65"/>
      <c r="Q71" s="4"/>
      <c r="R71" s="4"/>
      <c r="S71" s="4"/>
      <c r="V71" s="73"/>
      <c r="W71" s="65"/>
      <c r="X71" s="4"/>
      <c r="Y71" s="4"/>
      <c r="Z71" s="4"/>
    </row>
    <row r="72" spans="1:27" s="82" customFormat="1" x14ac:dyDescent="0.25">
      <c r="A72" s="46" t="s">
        <v>9</v>
      </c>
      <c r="B72" s="46"/>
      <c r="C72" s="75">
        <f>NPV($B$2,C74:C87)</f>
        <v>339787.0709082773</v>
      </c>
      <c r="H72" s="46" t="s">
        <v>89</v>
      </c>
      <c r="I72" s="46"/>
      <c r="J72" s="75">
        <f>NPV($B$2,J74:J87)</f>
        <v>237456.09115803623</v>
      </c>
      <c r="L72" s="39"/>
      <c r="O72" s="46" t="s">
        <v>20</v>
      </c>
      <c r="P72" s="46"/>
      <c r="Q72" s="75">
        <f>NPV($B$2,Q74:Q87)</f>
        <v>257434.497721361</v>
      </c>
      <c r="S72" s="39"/>
      <c r="V72" s="46" t="s">
        <v>21</v>
      </c>
      <c r="W72" s="46"/>
      <c r="X72" s="75">
        <f>NPV($B$2,X74:X87)</f>
        <v>357640.7046508558</v>
      </c>
      <c r="Z72" s="39"/>
    </row>
    <row r="73" spans="1:27" s="82" customFormat="1" x14ac:dyDescent="0.25">
      <c r="A73" s="13" t="s">
        <v>0</v>
      </c>
      <c r="B73" s="13" t="s">
        <v>1</v>
      </c>
      <c r="C73" s="13" t="s">
        <v>4</v>
      </c>
      <c r="D73" s="83"/>
      <c r="E73" s="83"/>
      <c r="F73" s="83"/>
      <c r="H73" s="13" t="s">
        <v>0</v>
      </c>
      <c r="I73" s="13" t="s">
        <v>1</v>
      </c>
      <c r="J73" s="13" t="s">
        <v>4</v>
      </c>
      <c r="K73" s="83"/>
      <c r="L73" s="65"/>
      <c r="M73" s="83"/>
      <c r="O73" s="13" t="s">
        <v>0</v>
      </c>
      <c r="P73" s="13" t="s">
        <v>1</v>
      </c>
      <c r="Q73" s="13" t="s">
        <v>4</v>
      </c>
      <c r="R73" s="83"/>
      <c r="S73" s="65"/>
      <c r="T73" s="83"/>
      <c r="V73" s="13" t="s">
        <v>0</v>
      </c>
      <c r="W73" s="13" t="s">
        <v>1</v>
      </c>
      <c r="X73" s="13" t="s">
        <v>4</v>
      </c>
      <c r="Y73" s="83"/>
      <c r="Z73" s="65"/>
      <c r="AA73" s="83"/>
    </row>
    <row r="74" spans="1:27" s="82" customFormat="1" x14ac:dyDescent="0.25">
      <c r="A74" s="93" t="s">
        <v>10</v>
      </c>
      <c r="B74" s="53">
        <v>2020</v>
      </c>
      <c r="C74" s="2">
        <v>-3818.2206315519807</v>
      </c>
      <c r="D74" s="66"/>
      <c r="E74" s="66"/>
      <c r="F74" s="66"/>
      <c r="H74" s="94" t="s">
        <v>10</v>
      </c>
      <c r="I74" s="53">
        <v>2020</v>
      </c>
      <c r="J74" s="2">
        <v>-3852.208726500578</v>
      </c>
      <c r="K74" s="66"/>
      <c r="L74" s="4"/>
      <c r="M74" s="66"/>
      <c r="O74" s="94" t="s">
        <v>10</v>
      </c>
      <c r="P74" s="53">
        <v>2020</v>
      </c>
      <c r="Q74" s="2">
        <v>-177.59276688371983</v>
      </c>
      <c r="R74" s="66"/>
      <c r="S74" s="4"/>
      <c r="T74" s="66"/>
      <c r="V74" s="94" t="s">
        <v>10</v>
      </c>
      <c r="W74" s="53">
        <v>2020</v>
      </c>
      <c r="X74" s="2">
        <v>0</v>
      </c>
      <c r="Y74" s="66"/>
      <c r="Z74" s="4"/>
      <c r="AA74" s="66"/>
    </row>
    <row r="75" spans="1:27" s="82" customFormat="1" x14ac:dyDescent="0.25">
      <c r="A75" s="93"/>
      <c r="B75" s="53">
        <v>2021</v>
      </c>
      <c r="C75" s="2">
        <v>21353.461754340686</v>
      </c>
      <c r="D75" s="48"/>
      <c r="E75" s="48"/>
      <c r="F75" s="48"/>
      <c r="H75" s="94"/>
      <c r="I75" s="53">
        <v>2021</v>
      </c>
      <c r="J75" s="2">
        <v>21319.47365939209</v>
      </c>
      <c r="K75" s="48"/>
      <c r="L75" s="4"/>
      <c r="M75" s="48"/>
      <c r="O75" s="94"/>
      <c r="P75" s="53">
        <v>2021</v>
      </c>
      <c r="Q75" s="2">
        <v>25126.678680963665</v>
      </c>
      <c r="R75" s="48"/>
      <c r="S75" s="4"/>
      <c r="T75" s="48"/>
      <c r="V75" s="94"/>
      <c r="W75" s="53">
        <v>2021</v>
      </c>
      <c r="X75" s="2">
        <v>24249.661438277712</v>
      </c>
      <c r="Y75" s="48"/>
      <c r="Z75" s="4"/>
      <c r="AA75" s="48"/>
    </row>
    <row r="76" spans="1:27" s="82" customFormat="1" x14ac:dyDescent="0.25">
      <c r="A76" s="93"/>
      <c r="B76" s="53">
        <v>2022</v>
      </c>
      <c r="C76" s="2">
        <v>39107.430227171906</v>
      </c>
      <c r="D76" s="48"/>
      <c r="E76" s="48"/>
      <c r="F76" s="48"/>
      <c r="H76" s="94"/>
      <c r="I76" s="53">
        <v>2022</v>
      </c>
      <c r="J76" s="2">
        <v>39073.442132223303</v>
      </c>
      <c r="K76" s="48"/>
      <c r="L76" s="4"/>
      <c r="M76" s="48"/>
      <c r="O76" s="94"/>
      <c r="P76" s="53">
        <v>2022</v>
      </c>
      <c r="Q76" s="2">
        <v>42991.359361449722</v>
      </c>
      <c r="R76" s="48"/>
      <c r="S76" s="4"/>
      <c r="T76" s="48"/>
      <c r="V76" s="94"/>
      <c r="W76" s="53">
        <v>2022</v>
      </c>
      <c r="X76" s="2">
        <v>41444.950231151808</v>
      </c>
      <c r="Y76" s="48"/>
      <c r="Z76" s="4"/>
      <c r="AA76" s="48"/>
    </row>
    <row r="77" spans="1:27" s="82" customFormat="1" x14ac:dyDescent="0.25">
      <c r="A77" s="93"/>
      <c r="B77" s="53">
        <v>2023</v>
      </c>
      <c r="C77" s="2">
        <v>92916.99229363905</v>
      </c>
      <c r="D77" s="81"/>
      <c r="E77" s="81"/>
      <c r="F77" s="81"/>
      <c r="H77" s="94"/>
      <c r="I77" s="53">
        <v>2023</v>
      </c>
      <c r="J77" s="2">
        <v>88419.825173756981</v>
      </c>
      <c r="K77" s="81"/>
      <c r="L77" s="4"/>
      <c r="M77" s="81"/>
      <c r="O77" s="94"/>
      <c r="P77" s="53">
        <v>2023</v>
      </c>
      <c r="Q77" s="2">
        <v>80182.7211054457</v>
      </c>
      <c r="R77" s="81"/>
      <c r="S77" s="4"/>
      <c r="T77" s="81"/>
      <c r="V77" s="94"/>
      <c r="W77" s="53">
        <v>2023</v>
      </c>
      <c r="X77" s="2">
        <v>124644.20390669949</v>
      </c>
      <c r="Y77" s="81"/>
      <c r="Z77" s="4"/>
      <c r="AA77" s="81"/>
    </row>
    <row r="78" spans="1:27" s="82" customFormat="1" x14ac:dyDescent="0.25">
      <c r="A78" s="93"/>
      <c r="B78" s="53">
        <v>2024</v>
      </c>
      <c r="C78" s="2">
        <v>9899.760168110106</v>
      </c>
      <c r="H78" s="94"/>
      <c r="I78" s="53">
        <v>2024</v>
      </c>
      <c r="J78" s="2">
        <v>6563.5111364296108</v>
      </c>
      <c r="L78" s="4"/>
      <c r="O78" s="94"/>
      <c r="P78" s="53">
        <v>2024</v>
      </c>
      <c r="Q78" s="2">
        <v>-14810.307186628052</v>
      </c>
      <c r="S78" s="4"/>
      <c r="V78" s="94"/>
      <c r="W78" s="53">
        <v>2024</v>
      </c>
      <c r="X78" s="2">
        <v>39111.216127469103</v>
      </c>
      <c r="Z78" s="4"/>
    </row>
    <row r="79" spans="1:27" s="82" customFormat="1" x14ac:dyDescent="0.25">
      <c r="A79" s="93"/>
      <c r="B79" s="53">
        <v>2025</v>
      </c>
      <c r="C79" s="2">
        <v>59306.780322415536</v>
      </c>
      <c r="H79" s="94"/>
      <c r="I79" s="53">
        <v>2025</v>
      </c>
      <c r="J79" s="2">
        <v>16361.8044495513</v>
      </c>
      <c r="L79" s="4"/>
      <c r="O79" s="94"/>
      <c r="P79" s="53">
        <v>2025</v>
      </c>
      <c r="Q79" s="2">
        <v>24191.422278981805</v>
      </c>
      <c r="S79" s="4"/>
      <c r="V79" s="94"/>
      <c r="W79" s="53">
        <v>2025</v>
      </c>
      <c r="X79" s="2">
        <v>39111.216127469219</v>
      </c>
      <c r="Z79" s="4"/>
    </row>
    <row r="80" spans="1:27" s="82" customFormat="1" x14ac:dyDescent="0.25">
      <c r="A80" s="93"/>
      <c r="B80" s="53">
        <v>2026</v>
      </c>
      <c r="C80" s="2">
        <v>50405.493790375433</v>
      </c>
      <c r="H80" s="94"/>
      <c r="I80" s="53">
        <v>2026</v>
      </c>
      <c r="J80" s="2">
        <v>16361.804449551073</v>
      </c>
      <c r="L80" s="4"/>
      <c r="O80" s="94"/>
      <c r="P80" s="53">
        <v>2026</v>
      </c>
      <c r="Q80" s="2">
        <v>31521.591996036932</v>
      </c>
      <c r="S80" s="4"/>
      <c r="V80" s="94"/>
      <c r="W80" s="53">
        <v>2026</v>
      </c>
      <c r="X80" s="2">
        <v>39111.216127469103</v>
      </c>
      <c r="Z80" s="4"/>
    </row>
    <row r="81" spans="1:27" s="82" customFormat="1" x14ac:dyDescent="0.25">
      <c r="A81" s="93"/>
      <c r="B81" s="53">
        <v>2027</v>
      </c>
      <c r="C81" s="2">
        <v>50435.62743414077</v>
      </c>
      <c r="H81" s="94"/>
      <c r="I81" s="53">
        <v>2027</v>
      </c>
      <c r="J81" s="2">
        <v>22132.370013628817</v>
      </c>
      <c r="L81" s="4"/>
      <c r="O81" s="94"/>
      <c r="P81" s="53">
        <v>2027</v>
      </c>
      <c r="Q81" s="2">
        <v>31656.610285147734</v>
      </c>
      <c r="S81" s="4"/>
      <c r="V81" s="94"/>
      <c r="W81" s="53">
        <v>2027</v>
      </c>
      <c r="X81" s="2">
        <v>39009.848411512394</v>
      </c>
      <c r="Z81" s="4"/>
    </row>
    <row r="82" spans="1:27" s="82" customFormat="1" x14ac:dyDescent="0.25">
      <c r="A82" s="93"/>
      <c r="B82" s="53">
        <v>2028</v>
      </c>
      <c r="C82" s="2">
        <v>50334.655582910957</v>
      </c>
      <c r="H82" s="94"/>
      <c r="I82" s="53">
        <v>2028</v>
      </c>
      <c r="J82" s="2">
        <v>22132.370013628588</v>
      </c>
      <c r="L82" s="4"/>
      <c r="O82" s="94"/>
      <c r="P82" s="53">
        <v>2028</v>
      </c>
      <c r="Q82" s="2">
        <v>31585.18459045831</v>
      </c>
      <c r="S82" s="4"/>
      <c r="V82" s="94"/>
      <c r="W82" s="53">
        <v>2028</v>
      </c>
      <c r="X82" s="2">
        <v>38233.440637101696</v>
      </c>
      <c r="Z82" s="4"/>
    </row>
    <row r="83" spans="1:27" s="82" customFormat="1" x14ac:dyDescent="0.25">
      <c r="A83" s="93"/>
      <c r="B83" s="53">
        <v>2029</v>
      </c>
      <c r="C83" s="2">
        <v>39034.93866868507</v>
      </c>
      <c r="H83" s="94"/>
      <c r="I83" s="53">
        <v>2029</v>
      </c>
      <c r="J83" s="2">
        <v>21715.100169851896</v>
      </c>
      <c r="L83" s="4"/>
      <c r="O83" s="94"/>
      <c r="P83" s="53">
        <v>2029</v>
      </c>
      <c r="Q83" s="2">
        <v>22480.825790604285</v>
      </c>
      <c r="S83" s="4"/>
      <c r="V83" s="94"/>
      <c r="W83" s="53">
        <v>2029</v>
      </c>
      <c r="X83" s="2">
        <v>21460.429163079425</v>
      </c>
      <c r="Z83" s="4"/>
    </row>
    <row r="84" spans="1:27" s="82" customFormat="1" x14ac:dyDescent="0.25">
      <c r="A84" s="93"/>
      <c r="B84" s="53">
        <v>2030</v>
      </c>
      <c r="C84" s="2">
        <v>18123.379407871198</v>
      </c>
      <c r="H84" s="94"/>
      <c r="I84" s="53">
        <v>2030</v>
      </c>
      <c r="J84" s="2">
        <v>18494.161635298497</v>
      </c>
      <c r="L84" s="4"/>
      <c r="O84" s="94"/>
      <c r="P84" s="53">
        <v>2030</v>
      </c>
      <c r="Q84" s="2">
        <v>20519.124685810537</v>
      </c>
      <c r="S84" s="4"/>
      <c r="V84" s="94"/>
      <c r="W84" s="53">
        <v>2030</v>
      </c>
      <c r="X84" s="2">
        <v>21354.018242052916</v>
      </c>
      <c r="Z84" s="4"/>
    </row>
    <row r="85" spans="1:27" s="82" customFormat="1" x14ac:dyDescent="0.25">
      <c r="A85" s="93"/>
      <c r="B85" s="53">
        <v>2031</v>
      </c>
      <c r="C85" s="2">
        <v>18123.379407871198</v>
      </c>
      <c r="H85" s="94"/>
      <c r="I85" s="53">
        <v>2031</v>
      </c>
      <c r="J85" s="2">
        <v>18494.161635298497</v>
      </c>
      <c r="L85" s="4"/>
      <c r="O85" s="94"/>
      <c r="P85" s="53">
        <v>2031</v>
      </c>
      <c r="Q85" s="2">
        <v>20519.124685810537</v>
      </c>
      <c r="S85" s="4"/>
      <c r="V85" s="94"/>
      <c r="W85" s="53">
        <v>2031</v>
      </c>
      <c r="X85" s="2">
        <v>30841.660465424182</v>
      </c>
      <c r="Z85" s="4"/>
    </row>
    <row r="86" spans="1:27" s="82" customFormat="1" x14ac:dyDescent="0.25">
      <c r="A86" s="93"/>
      <c r="B86" s="53">
        <v>2032</v>
      </c>
      <c r="C86" s="2">
        <v>18134.847663496203</v>
      </c>
      <c r="H86" s="94"/>
      <c r="I86" s="53">
        <v>2032</v>
      </c>
      <c r="J86" s="2">
        <v>20154.019531396669</v>
      </c>
      <c r="L86" s="4"/>
      <c r="O86" s="94"/>
      <c r="P86" s="53">
        <v>2032</v>
      </c>
      <c r="Q86" s="2">
        <v>23105.662846284304</v>
      </c>
      <c r="S86" s="4"/>
      <c r="V86" s="94"/>
      <c r="W86" s="53">
        <v>2032</v>
      </c>
      <c r="X86" s="2">
        <v>18293.052320706465</v>
      </c>
      <c r="Z86" s="4"/>
    </row>
    <row r="87" spans="1:27" s="82" customFormat="1" x14ac:dyDescent="0.25">
      <c r="A87" s="93"/>
      <c r="B87" s="53" t="s">
        <v>73</v>
      </c>
      <c r="C87" s="2">
        <v>56366.804993421967</v>
      </c>
      <c r="H87" s="94"/>
      <c r="I87" s="53" t="s">
        <v>73</v>
      </c>
      <c r="J87" s="2">
        <v>55295.932854706734</v>
      </c>
      <c r="L87" s="4"/>
      <c r="O87" s="94"/>
      <c r="P87" s="53" t="s">
        <v>73</v>
      </c>
      <c r="Q87" s="2">
        <v>58174.576673136246</v>
      </c>
      <c r="S87" s="4"/>
      <c r="V87" s="94"/>
      <c r="W87" s="53" t="s">
        <v>73</v>
      </c>
      <c r="X87" s="2">
        <v>57607.021068159156</v>
      </c>
      <c r="Z87" s="4"/>
    </row>
    <row r="88" spans="1:27" s="82" customFormat="1" x14ac:dyDescent="0.25">
      <c r="A88" s="41"/>
      <c r="B88" s="65"/>
      <c r="C88" s="4"/>
      <c r="D88" s="4"/>
      <c r="E88" s="4"/>
      <c r="H88" s="41"/>
      <c r="I88" s="65"/>
      <c r="J88" s="4"/>
      <c r="K88" s="4"/>
      <c r="L88" s="4"/>
      <c r="O88" s="41"/>
      <c r="P88" s="65"/>
      <c r="Q88" s="4"/>
      <c r="R88" s="4"/>
      <c r="S88" s="4"/>
      <c r="V88" s="41"/>
      <c r="W88" s="65"/>
      <c r="X88" s="4"/>
      <c r="Y88" s="4"/>
      <c r="Z88" s="4"/>
    </row>
    <row r="89" spans="1:27" x14ac:dyDescent="0.25">
      <c r="A89" s="45" t="s">
        <v>25</v>
      </c>
    </row>
    <row r="90" spans="1:27" x14ac:dyDescent="0.25">
      <c r="A90" s="46" t="s">
        <v>9</v>
      </c>
      <c r="B90" s="46"/>
      <c r="C90" s="46"/>
      <c r="D90" s="46"/>
      <c r="E90" s="46"/>
      <c r="F90" s="43"/>
      <c r="H90" s="46" t="s">
        <v>89</v>
      </c>
      <c r="I90" s="46"/>
      <c r="J90" s="46"/>
      <c r="K90" s="46"/>
      <c r="L90" s="46"/>
      <c r="M90" s="43"/>
      <c r="N90" s="44"/>
      <c r="O90" s="46" t="s">
        <v>20</v>
      </c>
      <c r="P90" s="46"/>
      <c r="Q90" s="46"/>
      <c r="R90" s="46"/>
      <c r="S90" s="46"/>
      <c r="T90" s="43"/>
      <c r="V90" s="46" t="s">
        <v>21</v>
      </c>
      <c r="W90" s="46"/>
      <c r="X90" s="46"/>
      <c r="Y90" s="46"/>
      <c r="Z90" s="46"/>
      <c r="AA90" s="43"/>
    </row>
    <row r="91" spans="1:27" x14ac:dyDescent="0.25">
      <c r="A91" s="43" t="s">
        <v>1</v>
      </c>
      <c r="B91" s="46" t="s">
        <v>2</v>
      </c>
      <c r="C91" s="46" t="s">
        <v>22</v>
      </c>
      <c r="D91" s="46" t="s">
        <v>3</v>
      </c>
      <c r="E91" s="46" t="s">
        <v>23</v>
      </c>
      <c r="F91" s="46" t="s">
        <v>24</v>
      </c>
      <c r="H91" s="43" t="s">
        <v>1</v>
      </c>
      <c r="I91" s="46" t="s">
        <v>2</v>
      </c>
      <c r="J91" s="46" t="s">
        <v>22</v>
      </c>
      <c r="K91" s="46" t="s">
        <v>3</v>
      </c>
      <c r="L91" s="46" t="s">
        <v>23</v>
      </c>
      <c r="M91" s="46" t="s">
        <v>24</v>
      </c>
      <c r="N91" s="39"/>
      <c r="O91" s="43" t="s">
        <v>1</v>
      </c>
      <c r="P91" s="46" t="s">
        <v>2</v>
      </c>
      <c r="Q91" s="46" t="s">
        <v>22</v>
      </c>
      <c r="R91" s="46" t="s">
        <v>3</v>
      </c>
      <c r="S91" s="46" t="s">
        <v>23</v>
      </c>
      <c r="T91" s="46" t="s">
        <v>24</v>
      </c>
      <c r="V91" s="43" t="s">
        <v>1</v>
      </c>
      <c r="W91" s="46" t="s">
        <v>2</v>
      </c>
      <c r="X91" s="46" t="s">
        <v>22</v>
      </c>
      <c r="Y91" s="46" t="s">
        <v>3</v>
      </c>
      <c r="Z91" s="46" t="s">
        <v>23</v>
      </c>
      <c r="AA91" s="46" t="s">
        <v>24</v>
      </c>
    </row>
    <row r="92" spans="1:27" x14ac:dyDescent="0.25">
      <c r="A92" s="43">
        <v>2020</v>
      </c>
      <c r="B92" s="78">
        <v>5545.9065862076841</v>
      </c>
      <c r="C92" s="78">
        <v>873.43802477145471</v>
      </c>
      <c r="D92" s="78">
        <v>1027.9251863587481</v>
      </c>
      <c r="E92" s="78">
        <v>0.28614958083098241</v>
      </c>
      <c r="F92" s="78">
        <v>889.91293727638151</v>
      </c>
      <c r="H92" s="43">
        <v>2020</v>
      </c>
      <c r="I92" s="46">
        <v>5005.2476515947756</v>
      </c>
      <c r="J92" s="46">
        <v>1511.0316326050158</v>
      </c>
      <c r="K92" s="46">
        <v>1523.5144237303548</v>
      </c>
      <c r="L92" s="46">
        <v>-0.40106110159738906</v>
      </c>
      <c r="M92" s="46">
        <v>1031.3295928286329</v>
      </c>
      <c r="N92" s="39"/>
      <c r="O92" s="43">
        <v>2020</v>
      </c>
      <c r="P92" s="46">
        <v>1819.6788529482346</v>
      </c>
      <c r="Q92" s="46">
        <v>1663.2530134994142</v>
      </c>
      <c r="R92" s="46">
        <v>215.67745949442724</v>
      </c>
      <c r="S92" s="46">
        <v>1.829688717825988</v>
      </c>
      <c r="T92" s="46">
        <v>1154.720967965171</v>
      </c>
      <c r="V92" s="43">
        <v>2020</v>
      </c>
      <c r="W92" s="46">
        <v>4495.1179854902439</v>
      </c>
      <c r="X92" s="46">
        <v>847.22256502509117</v>
      </c>
      <c r="Y92" s="46">
        <v>256.24788609537063</v>
      </c>
      <c r="Z92" s="46">
        <v>52.535760660612141</v>
      </c>
      <c r="AA92" s="46">
        <v>723.48000125365797</v>
      </c>
    </row>
    <row r="93" spans="1:27" x14ac:dyDescent="0.25">
      <c r="A93" s="43">
        <v>2021</v>
      </c>
      <c r="B93" s="78">
        <v>-1146.9278471321568</v>
      </c>
      <c r="C93" s="78">
        <v>-1515.9597680550146</v>
      </c>
      <c r="D93" s="78">
        <v>418.01107524929819</v>
      </c>
      <c r="E93" s="78">
        <v>-1.0024927376364905</v>
      </c>
      <c r="F93" s="78">
        <v>345.35252372423014</v>
      </c>
      <c r="H93" s="43">
        <v>2021</v>
      </c>
      <c r="I93" s="53">
        <v>-1334.4701528311509</v>
      </c>
      <c r="J93" s="53">
        <v>-810.60957074418184</v>
      </c>
      <c r="K93" s="53">
        <v>429.37850609064679</v>
      </c>
      <c r="L93" s="53">
        <v>0.10292830523458063</v>
      </c>
      <c r="M93" s="53">
        <v>350.23360944186317</v>
      </c>
      <c r="N93" s="44"/>
      <c r="O93" s="43">
        <v>2021</v>
      </c>
      <c r="P93" s="53">
        <v>-2408.6238781925385</v>
      </c>
      <c r="Q93" s="53">
        <v>-967.04814639528081</v>
      </c>
      <c r="R93" s="53">
        <v>-270.51036696253163</v>
      </c>
      <c r="S93" s="53">
        <v>-19.087448919567549</v>
      </c>
      <c r="T93" s="53">
        <v>321.31355488039912</v>
      </c>
      <c r="V93" s="43">
        <v>2021</v>
      </c>
      <c r="W93" s="53">
        <v>-2585.6931623277346</v>
      </c>
      <c r="X93" s="53">
        <v>-928.50341633939536</v>
      </c>
      <c r="Y93" s="53">
        <v>-923.55969711201078</v>
      </c>
      <c r="Z93" s="53">
        <v>-32.707434033145688</v>
      </c>
      <c r="AA93" s="53">
        <v>-403.36267860688201</v>
      </c>
    </row>
    <row r="94" spans="1:27" x14ac:dyDescent="0.25">
      <c r="A94" s="43">
        <v>2022</v>
      </c>
      <c r="B94" s="79">
        <v>-5083.0163434479482</v>
      </c>
      <c r="C94" s="79">
        <v>-2004.2809168854888</v>
      </c>
      <c r="D94" s="79">
        <v>-1432.9497333564996</v>
      </c>
      <c r="E94" s="79">
        <v>2.1136113666465262</v>
      </c>
      <c r="F94" s="79">
        <v>-351.00971632070468</v>
      </c>
      <c r="H94" s="43">
        <v>2022</v>
      </c>
      <c r="I94" s="53">
        <v>-5053.1090539089337</v>
      </c>
      <c r="J94" s="53">
        <v>-1975.435289617616</v>
      </c>
      <c r="K94" s="53">
        <v>-2208.8121338693209</v>
      </c>
      <c r="L94" s="53">
        <v>5.1752809266774991</v>
      </c>
      <c r="M94" s="53">
        <v>-283.54766527023577</v>
      </c>
      <c r="N94" s="39"/>
      <c r="O94" s="43">
        <v>2022</v>
      </c>
      <c r="P94" s="53">
        <v>-5523.3923635171705</v>
      </c>
      <c r="Q94" s="53">
        <v>-1627.0535041532967</v>
      </c>
      <c r="R94" s="53">
        <v>-275.64419182134208</v>
      </c>
      <c r="S94" s="53">
        <v>-4.599820905219496</v>
      </c>
      <c r="T94" s="53">
        <v>544.55198121113403</v>
      </c>
      <c r="V94" s="43">
        <v>2022</v>
      </c>
      <c r="W94" s="53">
        <v>-10006.310054719821</v>
      </c>
      <c r="X94" s="53">
        <v>-2672.751608503097</v>
      </c>
      <c r="Y94" s="53">
        <v>-15707.660093839422</v>
      </c>
      <c r="Z94" s="53">
        <v>687.21335002501053</v>
      </c>
      <c r="AA94" s="53">
        <v>-2226.6754767265447</v>
      </c>
    </row>
    <row r="95" spans="1:27" x14ac:dyDescent="0.25">
      <c r="A95" s="43">
        <v>2023</v>
      </c>
      <c r="B95" s="78">
        <v>-17119.972589639692</v>
      </c>
      <c r="C95" s="78">
        <v>-16434.046564029057</v>
      </c>
      <c r="D95" s="78">
        <v>-9276.1176855147678</v>
      </c>
      <c r="E95" s="78">
        <v>-0.55467650349843911</v>
      </c>
      <c r="F95" s="78">
        <v>-6029.5552243899201</v>
      </c>
      <c r="H95" s="43">
        <v>2023</v>
      </c>
      <c r="I95" s="53">
        <v>-16558.603898120051</v>
      </c>
      <c r="J95" s="53">
        <v>-13910.700754653082</v>
      </c>
      <c r="K95" s="53">
        <v>-6700.249634768129</v>
      </c>
      <c r="L95" s="53">
        <v>0.58753806951148391</v>
      </c>
      <c r="M95" s="53">
        <v>-5332.2038881982189</v>
      </c>
      <c r="N95" s="39"/>
      <c r="O95" s="43">
        <v>2023</v>
      </c>
      <c r="P95" s="53">
        <v>3634.9955454365331</v>
      </c>
      <c r="Q95" s="53">
        <v>-1846.0839190221106</v>
      </c>
      <c r="R95" s="53">
        <v>-906.24768399923641</v>
      </c>
      <c r="S95" s="53">
        <v>-16.76185723568663</v>
      </c>
      <c r="T95" s="53">
        <v>-7146.0824289697503</v>
      </c>
      <c r="V95" s="43">
        <v>2023</v>
      </c>
      <c r="W95" s="53">
        <v>-18664.259169080491</v>
      </c>
      <c r="X95" s="53">
        <v>-11288.741029400288</v>
      </c>
      <c r="Y95" s="53">
        <v>-33621.227119860327</v>
      </c>
      <c r="Z95" s="53">
        <v>-34450.472889284523</v>
      </c>
      <c r="AA95" s="53">
        <v>-14490.157909215024</v>
      </c>
    </row>
    <row r="96" spans="1:27" x14ac:dyDescent="0.25">
      <c r="A96" s="43">
        <v>2024</v>
      </c>
      <c r="B96" s="79">
        <v>4804.3972738953926</v>
      </c>
      <c r="C96" s="79">
        <v>2164.5978724754218</v>
      </c>
      <c r="D96" s="79">
        <v>-22.070050845220649</v>
      </c>
      <c r="E96" s="79">
        <v>8.4528275963568937</v>
      </c>
      <c r="F96" s="79">
        <v>98.258763558400858</v>
      </c>
      <c r="H96" s="43">
        <v>2024</v>
      </c>
      <c r="I96" s="53">
        <v>5420.4950870049906</v>
      </c>
      <c r="J96" s="53">
        <v>3411.583699886773</v>
      </c>
      <c r="K96" s="53">
        <v>329.53731009376884</v>
      </c>
      <c r="L96" s="53">
        <v>4.4829419218074698</v>
      </c>
      <c r="M96" s="53">
        <v>44.38214744077586</v>
      </c>
      <c r="N96" s="39"/>
      <c r="O96" s="43">
        <v>2024</v>
      </c>
      <c r="P96" s="53">
        <v>13844.930298826934</v>
      </c>
      <c r="Q96" s="53">
        <v>2099.5451864561278</v>
      </c>
      <c r="R96" s="53">
        <v>64.342385863951037</v>
      </c>
      <c r="S96" s="53">
        <v>-16.481545896809813</v>
      </c>
      <c r="T96" s="53">
        <v>1095.749772554293</v>
      </c>
      <c r="V96" s="43">
        <v>2024</v>
      </c>
      <c r="W96" s="53">
        <v>-4911.1712299018063</v>
      </c>
      <c r="X96" s="53">
        <v>-2724.555754408249</v>
      </c>
      <c r="Y96" s="53">
        <v>-6372.3273554149537</v>
      </c>
      <c r="Z96" s="53">
        <v>369.92538358505107</v>
      </c>
      <c r="AA96" s="53">
        <v>-852.65450578509228</v>
      </c>
    </row>
    <row r="97" spans="1:27" x14ac:dyDescent="0.25">
      <c r="A97" s="43">
        <v>2025</v>
      </c>
      <c r="B97" s="78">
        <v>-8145.9498718426366</v>
      </c>
      <c r="C97" s="78">
        <v>-6250.1232522688779</v>
      </c>
      <c r="D97" s="78">
        <v>-1887.357192618357</v>
      </c>
      <c r="E97" s="78">
        <v>-4.9913195332760765</v>
      </c>
      <c r="F97" s="78">
        <v>-2110.4830194019523</v>
      </c>
      <c r="H97" s="43">
        <v>2025</v>
      </c>
      <c r="I97" s="53">
        <v>6938.7673719680288</v>
      </c>
      <c r="J97" s="53">
        <v>3060.4775272805168</v>
      </c>
      <c r="K97" s="53">
        <v>243.18218214859314</v>
      </c>
      <c r="L97" s="53">
        <v>0.12306429868468091</v>
      </c>
      <c r="M97" s="53">
        <v>-407.97430544522427</v>
      </c>
      <c r="N97" s="39"/>
      <c r="O97" s="43">
        <v>2025</v>
      </c>
      <c r="P97" s="53">
        <v>5175.2830272217525</v>
      </c>
      <c r="Q97" s="53">
        <v>1911.3533937634313</v>
      </c>
      <c r="R97" s="53">
        <v>92.504117260870686</v>
      </c>
      <c r="S97" s="53">
        <v>-45.980819673328085</v>
      </c>
      <c r="T97" s="53">
        <v>-226.80941103670415</v>
      </c>
      <c r="V97" s="43">
        <v>2025</v>
      </c>
      <c r="W97" s="53">
        <v>-4021.6989978492238</v>
      </c>
      <c r="X97" s="53">
        <v>7836.5416393589439</v>
      </c>
      <c r="Y97" s="53">
        <v>-1839.9504028609797</v>
      </c>
      <c r="Z97" s="53">
        <v>-2018.9571272561589</v>
      </c>
      <c r="AA97" s="53">
        <v>-3410.246246069818</v>
      </c>
    </row>
    <row r="98" spans="1:27" x14ac:dyDescent="0.25">
      <c r="A98" s="43">
        <v>2026</v>
      </c>
      <c r="B98" s="79">
        <v>-2791.58858342655</v>
      </c>
      <c r="C98" s="79">
        <v>-3796.0587098980322</v>
      </c>
      <c r="D98" s="79">
        <v>-1829.2321241735335</v>
      </c>
      <c r="E98" s="79">
        <v>12.639973647826992</v>
      </c>
      <c r="F98" s="79">
        <v>-1733.6979316408397</v>
      </c>
      <c r="H98" s="43">
        <v>2026</v>
      </c>
      <c r="I98" s="53">
        <v>6353.3599739708006</v>
      </c>
      <c r="J98" s="53">
        <v>3733.9019414547365</v>
      </c>
      <c r="K98" s="53">
        <v>595.6014982846682</v>
      </c>
      <c r="L98" s="53">
        <v>4.9386723446295946</v>
      </c>
      <c r="M98" s="53">
        <v>-660.07280627533328</v>
      </c>
      <c r="N98" s="39"/>
      <c r="O98" s="43">
        <v>2026</v>
      </c>
      <c r="P98" s="53">
        <v>1188.6633645507973</v>
      </c>
      <c r="Q98" s="53">
        <v>401.32886966236401</v>
      </c>
      <c r="R98" s="53">
        <v>-81.787493648898817</v>
      </c>
      <c r="S98" s="53">
        <v>15.754509484460868</v>
      </c>
      <c r="T98" s="53">
        <v>-155.3221830012626</v>
      </c>
      <c r="V98" s="43">
        <v>2026</v>
      </c>
      <c r="W98" s="53">
        <v>965.99388155317865</v>
      </c>
      <c r="X98" s="53">
        <v>-687.36161625920795</v>
      </c>
      <c r="Y98" s="53">
        <v>-1819.566345378058</v>
      </c>
      <c r="Z98" s="53">
        <v>189.31294332006655</v>
      </c>
      <c r="AA98" s="53">
        <v>-8131.7978275484638</v>
      </c>
    </row>
    <row r="99" spans="1:27" x14ac:dyDescent="0.25">
      <c r="A99" s="43">
        <v>2027</v>
      </c>
      <c r="B99" s="78">
        <v>-2048.3940168903209</v>
      </c>
      <c r="C99" s="78">
        <v>-3425.2940132743679</v>
      </c>
      <c r="D99" s="78">
        <v>563.93453456913267</v>
      </c>
      <c r="E99" s="78">
        <v>-3.838941128764418</v>
      </c>
      <c r="F99" s="78">
        <v>-1800.6652019578032</v>
      </c>
      <c r="H99" s="43">
        <v>2027</v>
      </c>
      <c r="I99" s="53">
        <v>6123.7904851804487</v>
      </c>
      <c r="J99" s="53">
        <v>1441.8737936152611</v>
      </c>
      <c r="K99" s="53">
        <v>-512.28299346279528</v>
      </c>
      <c r="L99" s="53">
        <v>-11.208828132883355</v>
      </c>
      <c r="M99" s="53">
        <v>-1170.1404490435962</v>
      </c>
      <c r="N99" s="39"/>
      <c r="O99" s="43">
        <v>2027</v>
      </c>
      <c r="P99" s="53">
        <v>1111.6476940287976</v>
      </c>
      <c r="Q99" s="53">
        <v>1106.2601342215203</v>
      </c>
      <c r="R99" s="53">
        <v>365.72505182043824</v>
      </c>
      <c r="S99" s="53">
        <v>-5.9329463388785371</v>
      </c>
      <c r="T99" s="53">
        <v>-426.04218688822584</v>
      </c>
      <c r="V99" s="43">
        <v>2027</v>
      </c>
      <c r="W99" s="53">
        <v>-3526.0270322875585</v>
      </c>
      <c r="X99" s="53">
        <v>-230.04833213659003</v>
      </c>
      <c r="Y99" s="53">
        <v>-1912.1908732387819</v>
      </c>
      <c r="Z99" s="53">
        <v>1367.1202742333116</v>
      </c>
      <c r="AA99" s="53">
        <v>-3478.6208747656201</v>
      </c>
    </row>
    <row r="100" spans="1:27" x14ac:dyDescent="0.25">
      <c r="A100" s="43">
        <v>2028</v>
      </c>
      <c r="B100" s="79">
        <v>-2012.1679551901761</v>
      </c>
      <c r="C100" s="79">
        <v>-4597.210706722457</v>
      </c>
      <c r="D100" s="79">
        <v>-98.133222365184338</v>
      </c>
      <c r="E100" s="79">
        <v>-5.3939127101330087E-3</v>
      </c>
      <c r="F100" s="79">
        <v>-2242.5505491677322</v>
      </c>
      <c r="H100" s="43">
        <v>2028</v>
      </c>
      <c r="I100" s="53">
        <v>7557.1771309312899</v>
      </c>
      <c r="J100" s="53">
        <v>797.35443670628592</v>
      </c>
      <c r="K100" s="53">
        <v>-531.05585265917762</v>
      </c>
      <c r="L100" s="53">
        <v>0.20486998135311296</v>
      </c>
      <c r="M100" s="53">
        <v>-1877.9720055572107</v>
      </c>
      <c r="N100" s="39"/>
      <c r="O100" s="43">
        <v>2028</v>
      </c>
      <c r="P100" s="53">
        <v>-320.81640378478914</v>
      </c>
      <c r="Q100" s="53">
        <v>1647.7480991791235</v>
      </c>
      <c r="R100" s="53">
        <v>243.75961495217416</v>
      </c>
      <c r="S100" s="53">
        <v>-0.67348005374515196</v>
      </c>
      <c r="T100" s="53">
        <v>-104.20557097694837</v>
      </c>
      <c r="V100" s="43">
        <v>2028</v>
      </c>
      <c r="W100" s="53">
        <v>1070.0806541792117</v>
      </c>
      <c r="X100" s="53">
        <v>-908.94479006598704</v>
      </c>
      <c r="Y100" s="53">
        <v>-47.570185954857152</v>
      </c>
      <c r="Z100" s="53">
        <v>-825.18461260086042</v>
      </c>
      <c r="AA100" s="53">
        <v>-5927.1114853898762</v>
      </c>
    </row>
    <row r="101" spans="1:27" x14ac:dyDescent="0.25">
      <c r="A101" s="43">
        <v>2029</v>
      </c>
      <c r="B101" s="78">
        <v>3184.0233568707481</v>
      </c>
      <c r="C101" s="78">
        <v>1622.3968103381339</v>
      </c>
      <c r="D101" s="78">
        <v>-148.46786772996711</v>
      </c>
      <c r="E101" s="78">
        <v>0.26207020279252902</v>
      </c>
      <c r="F101" s="78">
        <v>-1739.61380610778</v>
      </c>
      <c r="H101" s="43">
        <v>2029</v>
      </c>
      <c r="I101" s="53">
        <v>8989.9870469835587</v>
      </c>
      <c r="J101" s="53">
        <v>638.09111201483756</v>
      </c>
      <c r="K101" s="53">
        <v>369.44466216793808</v>
      </c>
      <c r="L101" s="53">
        <v>-2.0386420069116866</v>
      </c>
      <c r="M101" s="53">
        <v>-1896.2674681347562</v>
      </c>
      <c r="N101" s="39"/>
      <c r="O101" s="43">
        <v>2029</v>
      </c>
      <c r="P101" s="53">
        <v>3702.7878313495312</v>
      </c>
      <c r="Q101" s="53">
        <v>2040.6098766484065</v>
      </c>
      <c r="R101" s="53">
        <v>-205.0013592664327</v>
      </c>
      <c r="S101" s="53">
        <v>8.9419163328129798</v>
      </c>
      <c r="T101" s="53">
        <v>602.97166105324868</v>
      </c>
      <c r="V101" s="43">
        <v>2029</v>
      </c>
      <c r="W101" s="53">
        <v>9090.9430325147696</v>
      </c>
      <c r="X101" s="53">
        <v>2758.6340603104327</v>
      </c>
      <c r="Y101" s="53">
        <v>6997.3674401980825</v>
      </c>
      <c r="Z101" s="53">
        <v>7612.1027045632072</v>
      </c>
      <c r="AA101" s="53">
        <v>8920.9283308000304</v>
      </c>
    </row>
    <row r="102" spans="1:27" x14ac:dyDescent="0.25">
      <c r="A102" s="43">
        <v>2030</v>
      </c>
      <c r="B102" s="79">
        <v>5950.5493297444191</v>
      </c>
      <c r="C102" s="79">
        <v>1413.5728172415402</v>
      </c>
      <c r="D102" s="79">
        <v>-375.88189969644009</v>
      </c>
      <c r="E102" s="79">
        <v>-22.488074443492224</v>
      </c>
      <c r="F102" s="79">
        <v>-863.4180783816264</v>
      </c>
      <c r="H102" s="43">
        <v>2030</v>
      </c>
      <c r="I102" s="53">
        <v>7284.0850069809239</v>
      </c>
      <c r="J102" s="53">
        <v>1764.7887660562992</v>
      </c>
      <c r="K102" s="53">
        <v>-331.632782535351</v>
      </c>
      <c r="L102" s="53">
        <v>1.0928995393114747</v>
      </c>
      <c r="M102" s="53">
        <v>-638.07291592023103</v>
      </c>
      <c r="N102" s="39"/>
      <c r="O102" s="43">
        <v>2030</v>
      </c>
      <c r="P102" s="53">
        <v>3777.5851577040739</v>
      </c>
      <c r="Q102" s="53">
        <v>1799.8426752474625</v>
      </c>
      <c r="R102" s="53">
        <v>204.89519854849459</v>
      </c>
      <c r="S102" s="53">
        <v>11.109664275383693</v>
      </c>
      <c r="T102" s="53">
        <v>566.28662122844253</v>
      </c>
      <c r="V102" s="43">
        <v>2030</v>
      </c>
      <c r="W102" s="53">
        <v>19511.732034775428</v>
      </c>
      <c r="X102" s="53">
        <v>2976.8239768994972</v>
      </c>
      <c r="Y102" s="53">
        <v>3567.5091527024633</v>
      </c>
      <c r="Z102" s="53">
        <v>5482.6642304734269</v>
      </c>
      <c r="AA102" s="53">
        <v>-1165.5152851637686</v>
      </c>
    </row>
    <row r="103" spans="1:27" x14ac:dyDescent="0.25">
      <c r="A103" s="43">
        <v>2031</v>
      </c>
      <c r="B103" s="78">
        <v>7546.5281370717566</v>
      </c>
      <c r="C103" s="78">
        <v>2773.8170766332187</v>
      </c>
      <c r="D103" s="78">
        <v>508.47494066633226</v>
      </c>
      <c r="E103" s="78">
        <v>13.473889943816175</v>
      </c>
      <c r="F103" s="78">
        <v>-1356.270352998632</v>
      </c>
      <c r="H103" s="43">
        <v>2031</v>
      </c>
      <c r="I103" s="53">
        <v>9862.1917412544135</v>
      </c>
      <c r="J103" s="53">
        <v>1287.9657049737871</v>
      </c>
      <c r="K103" s="53">
        <v>470.57392401820107</v>
      </c>
      <c r="L103" s="53">
        <v>-1.7762537574817543</v>
      </c>
      <c r="M103" s="53">
        <v>-1472.6915056742728</v>
      </c>
      <c r="N103" s="39"/>
      <c r="O103" s="43">
        <v>2031</v>
      </c>
      <c r="P103" s="53">
        <v>3515.8164788037539</v>
      </c>
      <c r="Q103" s="53">
        <v>2346.2419798125047</v>
      </c>
      <c r="R103" s="53">
        <v>228.17595777384849</v>
      </c>
      <c r="S103" s="53">
        <v>19.673574957632809</v>
      </c>
      <c r="T103" s="53">
        <v>557.43219639669405</v>
      </c>
      <c r="V103" s="43">
        <v>2031</v>
      </c>
      <c r="W103" s="53">
        <v>3261.5675666313618</v>
      </c>
      <c r="X103" s="53">
        <v>4596.213214202784</v>
      </c>
      <c r="Y103" s="53">
        <v>867.23155180836329</v>
      </c>
      <c r="Z103" s="53">
        <v>3281.9085514091421</v>
      </c>
      <c r="AA103" s="53">
        <v>-2651.5489285703516</v>
      </c>
    </row>
    <row r="104" spans="1:27" x14ac:dyDescent="0.25">
      <c r="A104" s="43">
        <v>2032</v>
      </c>
      <c r="B104" s="79">
        <v>8094.9187757514883</v>
      </c>
      <c r="C104" s="79">
        <v>4964.8118971844669</v>
      </c>
      <c r="D104" s="79">
        <v>1034.4564414278721</v>
      </c>
      <c r="E104" s="79">
        <v>-3.2071486133063445</v>
      </c>
      <c r="F104" s="79">
        <v>-3213.8013986900332</v>
      </c>
      <c r="H104" s="43">
        <v>2032</v>
      </c>
      <c r="I104" s="53">
        <v>9207.111911645392</v>
      </c>
      <c r="J104" s="53">
        <v>1990.1849341918714</v>
      </c>
      <c r="K104" s="53">
        <v>461.70868976447673</v>
      </c>
      <c r="L104" s="53">
        <v>-0.60270711133489385</v>
      </c>
      <c r="M104" s="53">
        <v>-3471.3173695855658</v>
      </c>
      <c r="N104" s="39"/>
      <c r="O104" s="43">
        <v>2032</v>
      </c>
      <c r="P104" s="53">
        <v>1991.0624002451077</v>
      </c>
      <c r="Q104" s="53">
        <v>1788.1390821103705</v>
      </c>
      <c r="R104" s="53">
        <v>363.76616986169938</v>
      </c>
      <c r="S104" s="53">
        <v>22.196165911438584</v>
      </c>
      <c r="T104" s="53">
        <v>494.49213938449975</v>
      </c>
      <c r="V104" s="43">
        <v>2032</v>
      </c>
      <c r="W104" s="53">
        <v>12664.769111199304</v>
      </c>
      <c r="X104" s="53">
        <v>6189.4559242683463</v>
      </c>
      <c r="Y104" s="53">
        <v>3318.1417449337896</v>
      </c>
      <c r="Z104" s="53">
        <v>5961.9853942092741</v>
      </c>
      <c r="AA104" s="53">
        <v>1679.0863320459612</v>
      </c>
    </row>
    <row r="105" spans="1:27" x14ac:dyDescent="0.25">
      <c r="A105" s="53" t="s">
        <v>45</v>
      </c>
      <c r="B105" s="78">
        <f>AVERAGE(B102:B104)</f>
        <v>7197.3320808558883</v>
      </c>
      <c r="C105" s="78">
        <f>AVERAGE(C102:C104)</f>
        <v>3050.7339303530753</v>
      </c>
      <c r="D105" s="78">
        <f>AVERAGE(D102:D104)</f>
        <v>389.01649413258809</v>
      </c>
      <c r="E105" s="78">
        <f>AVERAGE(E102:E104)</f>
        <v>-4.0737777043274646</v>
      </c>
      <c r="F105" s="78">
        <f>AVERAGE(F102:F104)</f>
        <v>-1811.1632766900973</v>
      </c>
      <c r="H105" s="53" t="s">
        <v>45</v>
      </c>
      <c r="I105" s="46">
        <f>AVERAGE(I102:I104)</f>
        <v>8784.4628866269104</v>
      </c>
      <c r="J105" s="46">
        <f>AVERAGE(J102:J104)</f>
        <v>1680.9798017406526</v>
      </c>
      <c r="K105" s="46">
        <f>AVERAGE(K102:K104)</f>
        <v>200.21661041577559</v>
      </c>
      <c r="L105" s="46">
        <f>AVERAGE(L102:L104)</f>
        <v>-0.42868710983505781</v>
      </c>
      <c r="M105" s="46">
        <f>AVERAGE(M102:M104)</f>
        <v>-1860.6939303933566</v>
      </c>
      <c r="N105" s="39"/>
      <c r="O105" s="53" t="s">
        <v>45</v>
      </c>
      <c r="P105" s="46">
        <f>AVERAGE(P102:P104)</f>
        <v>3094.821345584312</v>
      </c>
      <c r="Q105" s="46">
        <f>AVERAGE(Q102:Q104)</f>
        <v>1978.0745790567792</v>
      </c>
      <c r="R105" s="46">
        <f>AVERAGE(R102:R104)</f>
        <v>265.61244206134751</v>
      </c>
      <c r="S105" s="46">
        <f>AVERAGE(S102:S104)</f>
        <v>17.659801714818361</v>
      </c>
      <c r="T105" s="46">
        <f>AVERAGE(T102:T104)</f>
        <v>539.40365233654541</v>
      </c>
      <c r="V105" s="53" t="s">
        <v>45</v>
      </c>
      <c r="W105" s="46">
        <f>AVERAGE(W102:W104)</f>
        <v>11812.689570868699</v>
      </c>
      <c r="X105" s="46">
        <f>AVERAGE(X102:X104)</f>
        <v>4587.4977051235428</v>
      </c>
      <c r="Y105" s="46">
        <f>AVERAGE(Y102:Y104)</f>
        <v>2584.2941498148721</v>
      </c>
      <c r="Z105" s="46">
        <f>AVERAGE(Z102:Z104)</f>
        <v>4908.8527253639477</v>
      </c>
      <c r="AA105" s="46">
        <f>AVERAGE(AA102:AA104)</f>
        <v>-712.65929389605299</v>
      </c>
    </row>
    <row r="107" spans="1:27" s="82" customFormat="1" x14ac:dyDescent="0.25">
      <c r="A107" s="62" t="s">
        <v>72</v>
      </c>
    </row>
    <row r="108" spans="1:27" s="82" customFormat="1" x14ac:dyDescent="0.25">
      <c r="A108" s="46" t="s">
        <v>9</v>
      </c>
      <c r="B108" s="46"/>
      <c r="C108" s="46"/>
      <c r="D108" s="46"/>
      <c r="E108" s="46"/>
      <c r="F108" s="53"/>
      <c r="H108" s="46" t="s">
        <v>89</v>
      </c>
      <c r="I108" s="46"/>
      <c r="J108" s="46"/>
      <c r="K108" s="46"/>
      <c r="L108" s="46"/>
      <c r="M108" s="53"/>
      <c r="N108" s="65"/>
      <c r="O108" s="46" t="s">
        <v>20</v>
      </c>
      <c r="P108" s="46"/>
      <c r="Q108" s="46"/>
      <c r="R108" s="46"/>
      <c r="S108" s="46"/>
      <c r="T108" s="53"/>
      <c r="V108" s="46" t="s">
        <v>21</v>
      </c>
      <c r="W108" s="46"/>
      <c r="X108" s="46"/>
      <c r="Y108" s="46"/>
      <c r="Z108" s="46"/>
      <c r="AA108" s="53"/>
    </row>
    <row r="109" spans="1:27" s="82" customFormat="1" x14ac:dyDescent="0.25">
      <c r="A109" s="53" t="s">
        <v>1</v>
      </c>
      <c r="B109" s="46" t="s">
        <v>2</v>
      </c>
      <c r="C109" s="46" t="s">
        <v>22</v>
      </c>
      <c r="D109" s="46" t="s">
        <v>3</v>
      </c>
      <c r="E109" s="46" t="s">
        <v>23</v>
      </c>
      <c r="F109" s="46" t="s">
        <v>24</v>
      </c>
      <c r="H109" s="53" t="s">
        <v>1</v>
      </c>
      <c r="I109" s="46" t="s">
        <v>2</v>
      </c>
      <c r="J109" s="46" t="s">
        <v>22</v>
      </c>
      <c r="K109" s="46" t="s">
        <v>3</v>
      </c>
      <c r="L109" s="46" t="s">
        <v>23</v>
      </c>
      <c r="M109" s="46" t="s">
        <v>24</v>
      </c>
      <c r="N109" s="39"/>
      <c r="O109" s="53" t="s">
        <v>1</v>
      </c>
      <c r="P109" s="46" t="s">
        <v>2</v>
      </c>
      <c r="Q109" s="46" t="s">
        <v>22</v>
      </c>
      <c r="R109" s="46" t="s">
        <v>3</v>
      </c>
      <c r="S109" s="46" t="s">
        <v>23</v>
      </c>
      <c r="T109" s="46" t="s">
        <v>24</v>
      </c>
      <c r="V109" s="53" t="s">
        <v>1</v>
      </c>
      <c r="W109" s="46" t="s">
        <v>2</v>
      </c>
      <c r="X109" s="46" t="s">
        <v>22</v>
      </c>
      <c r="Y109" s="46" t="s">
        <v>3</v>
      </c>
      <c r="Z109" s="46" t="s">
        <v>23</v>
      </c>
      <c r="AA109" s="46" t="s">
        <v>24</v>
      </c>
    </row>
    <row r="110" spans="1:27" s="82" customFormat="1" x14ac:dyDescent="0.25">
      <c r="A110" s="53">
        <v>2020</v>
      </c>
      <c r="B110" s="78">
        <v>1119.6908841859549</v>
      </c>
      <c r="C110" s="78">
        <v>352.35947636188939</v>
      </c>
      <c r="D110" s="78">
        <v>1348.4820621891413</v>
      </c>
      <c r="E110" s="78">
        <v>-0.2777250303333858</v>
      </c>
      <c r="F110" s="78">
        <v>159.64168646477628</v>
      </c>
      <c r="H110" s="53">
        <v>2020</v>
      </c>
      <c r="I110" s="78">
        <v>1275.7152549205348</v>
      </c>
      <c r="J110" s="78">
        <v>320.05663400120102</v>
      </c>
      <c r="K110" s="78">
        <v>1149.6347135884571</v>
      </c>
      <c r="L110" s="78">
        <v>-0.75570172623702092</v>
      </c>
      <c r="M110" s="78">
        <v>142.88983100175392</v>
      </c>
      <c r="N110" s="39"/>
      <c r="O110" s="53">
        <v>2020</v>
      </c>
      <c r="P110" s="78">
        <v>-318.94110313523561</v>
      </c>
      <c r="Q110" s="78">
        <v>426.32644715590868</v>
      </c>
      <c r="R110" s="78">
        <v>40.249793474096805</v>
      </c>
      <c r="S110" s="78">
        <v>1.4279379855943262</v>
      </c>
      <c r="T110" s="78">
        <v>25.170960463641677</v>
      </c>
      <c r="V110" s="53">
        <v>2020</v>
      </c>
      <c r="W110" s="78">
        <v>0</v>
      </c>
      <c r="X110" s="78">
        <v>0</v>
      </c>
      <c r="Y110" s="78">
        <v>0</v>
      </c>
      <c r="Z110" s="78">
        <v>0</v>
      </c>
      <c r="AA110" s="78">
        <v>0</v>
      </c>
    </row>
    <row r="111" spans="1:27" s="82" customFormat="1" x14ac:dyDescent="0.25">
      <c r="A111" s="53">
        <v>2021</v>
      </c>
      <c r="B111" s="78">
        <v>-4697.9118567632977</v>
      </c>
      <c r="C111" s="78">
        <v>-2413.4491809026804</v>
      </c>
      <c r="D111" s="78">
        <v>307.18736780242762</v>
      </c>
      <c r="E111" s="78">
        <v>-0.63865446158888517</v>
      </c>
      <c r="F111" s="78">
        <v>-580.59811187116429</v>
      </c>
      <c r="H111" s="53">
        <v>2021</v>
      </c>
      <c r="I111" s="78">
        <v>-4607.5958821401</v>
      </c>
      <c r="J111" s="78">
        <v>-2286.419331653975</v>
      </c>
      <c r="K111" s="78">
        <v>208.08911336550955</v>
      </c>
      <c r="L111" s="78">
        <v>-1.1729453673833632</v>
      </c>
      <c r="M111" s="78">
        <v>-585.12435606238432</v>
      </c>
      <c r="N111" s="65"/>
      <c r="O111" s="53">
        <v>2021</v>
      </c>
      <c r="P111" s="78">
        <v>-4457.8370028800564</v>
      </c>
      <c r="Q111" s="78">
        <v>-1645.5187297061784</v>
      </c>
      <c r="R111" s="78">
        <v>-234.28000356646953</v>
      </c>
      <c r="S111" s="78">
        <v>-1.1960972944507375</v>
      </c>
      <c r="T111" s="78">
        <v>-864.49860857770545</v>
      </c>
      <c r="V111" s="53">
        <v>2021</v>
      </c>
      <c r="W111" s="78">
        <v>-5788.4898972371593</v>
      </c>
      <c r="X111" s="78">
        <v>-2572.5425907250028</v>
      </c>
      <c r="Y111" s="78">
        <v>-1197.8682017527753</v>
      </c>
      <c r="Z111" s="78">
        <v>-62.92078377501457</v>
      </c>
      <c r="AA111" s="78">
        <v>-1131.4629547726945</v>
      </c>
    </row>
    <row r="112" spans="1:27" s="82" customFormat="1" x14ac:dyDescent="0.25">
      <c r="A112" s="53">
        <v>2022</v>
      </c>
      <c r="B112" s="79">
        <v>-7896.7159959292039</v>
      </c>
      <c r="C112" s="79">
        <v>-4445.5422454096843</v>
      </c>
      <c r="D112" s="79">
        <v>-1825.4309742984478</v>
      </c>
      <c r="E112" s="79">
        <v>2.5681636909794179</v>
      </c>
      <c r="F112" s="79">
        <v>-1313.8005967481877</v>
      </c>
      <c r="H112" s="53">
        <v>2022</v>
      </c>
      <c r="I112" s="79">
        <v>-8467.0514773093164</v>
      </c>
      <c r="J112" s="79">
        <v>-3912.7922241205815</v>
      </c>
      <c r="K112" s="79">
        <v>-1899.6191466274322</v>
      </c>
      <c r="L112" s="79">
        <v>1.664332612133876</v>
      </c>
      <c r="M112" s="79">
        <v>-1046.7711190784466</v>
      </c>
      <c r="N112" s="39"/>
      <c r="O112" s="53">
        <v>2022</v>
      </c>
      <c r="P112" s="79">
        <v>-6553.0836657537147</v>
      </c>
      <c r="Q112" s="79">
        <v>-2810.583791236626</v>
      </c>
      <c r="R112" s="79">
        <v>-646.77779406728223</v>
      </c>
      <c r="S112" s="79">
        <v>-7.7215425195172429</v>
      </c>
      <c r="T112" s="79">
        <v>-904.16060620342614</v>
      </c>
      <c r="V112" s="53">
        <v>2022</v>
      </c>
      <c r="W112" s="79">
        <v>-12185.584521569312</v>
      </c>
      <c r="X112" s="79">
        <v>-4362.9831467589829</v>
      </c>
      <c r="Y112" s="79">
        <v>-16095.741557064583</v>
      </c>
      <c r="Z112" s="79">
        <v>483.21097273478517</v>
      </c>
      <c r="AA112" s="79">
        <v>-2709.826624784735</v>
      </c>
    </row>
    <row r="113" spans="1:27" s="82" customFormat="1" x14ac:dyDescent="0.25">
      <c r="A113" s="53">
        <v>2023</v>
      </c>
      <c r="B113" s="78">
        <v>-20964.644644758664</v>
      </c>
      <c r="C113" s="78">
        <v>-18616.352109398926</v>
      </c>
      <c r="D113" s="78">
        <v>-5989.7505685379729</v>
      </c>
      <c r="E113" s="78">
        <v>3.5488046067912364</v>
      </c>
      <c r="F113" s="78">
        <v>-7731.9219488854869</v>
      </c>
      <c r="H113" s="53">
        <v>2023</v>
      </c>
      <c r="I113" s="78">
        <v>-20062.638692880981</v>
      </c>
      <c r="J113" s="78">
        <v>-17454.836598847294</v>
      </c>
      <c r="K113" s="78">
        <v>-5874.9841378791607</v>
      </c>
      <c r="L113" s="78">
        <v>2.7744792092707939</v>
      </c>
      <c r="M113" s="78">
        <v>-7513.7950233272859</v>
      </c>
      <c r="N113" s="39"/>
      <c r="O113" s="53">
        <v>2023</v>
      </c>
      <c r="P113" s="78">
        <v>1684.3983866994968</v>
      </c>
      <c r="Q113" s="78">
        <v>-1938.9489785883343</v>
      </c>
      <c r="R113" s="78">
        <v>-594.84540061006555</v>
      </c>
      <c r="S113" s="78">
        <v>-19.742575557334931</v>
      </c>
      <c r="T113" s="78">
        <v>-8875.1248544338159</v>
      </c>
      <c r="V113" s="53">
        <v>2023</v>
      </c>
      <c r="W113" s="78">
        <v>-32337.464816064807</v>
      </c>
      <c r="X113" s="78">
        <v>-19411.871941864258</v>
      </c>
      <c r="Y113" s="78">
        <v>-36177.229791353922</v>
      </c>
      <c r="Z113" s="78">
        <v>-27965.738559194971</v>
      </c>
      <c r="AA113" s="78">
        <v>-15139.90851642983</v>
      </c>
    </row>
    <row r="114" spans="1:27" s="82" customFormat="1" x14ac:dyDescent="0.25">
      <c r="A114" s="53">
        <v>2024</v>
      </c>
      <c r="B114" s="79">
        <v>2765.4365416539367</v>
      </c>
      <c r="C114" s="79">
        <v>-36.192166287684813</v>
      </c>
      <c r="D114" s="79">
        <v>-63.906977849022951</v>
      </c>
      <c r="E114" s="79">
        <v>7.8137492106834543</v>
      </c>
      <c r="F114" s="79">
        <v>-3254.2244113396737</v>
      </c>
      <c r="H114" s="53">
        <v>2024</v>
      </c>
      <c r="I114" s="79">
        <v>3061.339931090828</v>
      </c>
      <c r="J114" s="79">
        <v>1499.1748166121542</v>
      </c>
      <c r="K114" s="79">
        <v>50.197642636718228</v>
      </c>
      <c r="L114" s="79">
        <v>8.3697011197145912</v>
      </c>
      <c r="M114" s="79">
        <v>-3354.6419558509369</v>
      </c>
      <c r="N114" s="39"/>
      <c r="O114" s="53">
        <v>2024</v>
      </c>
      <c r="P114" s="79">
        <v>13694.988511042669</v>
      </c>
      <c r="Q114" s="79">
        <v>2498.0234247362241</v>
      </c>
      <c r="R114" s="79">
        <v>191.61040986515582</v>
      </c>
      <c r="S114" s="79">
        <v>-28.824300689688243</v>
      </c>
      <c r="T114" s="79">
        <v>-2251.4491401970154</v>
      </c>
      <c r="V114" s="53">
        <v>2024</v>
      </c>
      <c r="W114" s="79">
        <v>-8227.016934000887</v>
      </c>
      <c r="X114" s="79">
        <v>-6492.2665306343697</v>
      </c>
      <c r="Y114" s="79">
        <v>-8852.4764111700351</v>
      </c>
      <c r="Z114" s="79">
        <v>266.39301456422982</v>
      </c>
      <c r="AA114" s="79">
        <v>-4118.112689198344</v>
      </c>
    </row>
    <row r="115" spans="1:27" s="82" customFormat="1" x14ac:dyDescent="0.25">
      <c r="A115" s="53">
        <v>2025</v>
      </c>
      <c r="B115" s="78">
        <v>-11451.401142819552</v>
      </c>
      <c r="C115" s="78">
        <v>-8311.2832786594518</v>
      </c>
      <c r="D115" s="78">
        <v>-2586.6474576870169</v>
      </c>
      <c r="E115" s="78">
        <v>-5.1208449142068275</v>
      </c>
      <c r="F115" s="78">
        <v>-4255.4579075208167</v>
      </c>
      <c r="H115" s="53">
        <v>2025</v>
      </c>
      <c r="I115" s="78">
        <v>3668.2778429971077</v>
      </c>
      <c r="J115" s="78">
        <v>1539.4881711751223</v>
      </c>
      <c r="K115" s="78">
        <v>-13.470084726948699</v>
      </c>
      <c r="L115" s="78">
        <v>-8.353309852827806E-2</v>
      </c>
      <c r="M115" s="78">
        <v>-2595.8024680690723</v>
      </c>
      <c r="N115" s="39"/>
      <c r="O115" s="53">
        <v>2025</v>
      </c>
      <c r="P115" s="78">
        <v>5336.5523361589294</v>
      </c>
      <c r="Q115" s="78">
        <v>1382.9834649784025</v>
      </c>
      <c r="R115" s="78">
        <v>159.92877446006787</v>
      </c>
      <c r="S115" s="78">
        <v>-41.544617867570196</v>
      </c>
      <c r="T115" s="78">
        <v>-2780.1829549538088</v>
      </c>
      <c r="V115" s="53">
        <v>2025</v>
      </c>
      <c r="W115" s="78">
        <v>-10749.885916376952</v>
      </c>
      <c r="X115" s="78">
        <v>-3746.1940864059143</v>
      </c>
      <c r="Y115" s="78">
        <v>-3728.6429050901788</v>
      </c>
      <c r="Z115" s="78">
        <v>-4469.0950245147833</v>
      </c>
      <c r="AA115" s="78">
        <v>-6626.6325180126005</v>
      </c>
    </row>
  </sheetData>
  <scenarios current="0">
    <scenario name="Neutral" locked="1" count="1" user="Kiet Lee" comment="Created by Kiet Lee on 10/10/2017">
      <inputCells r="B2" val="5" numFmtId="9"/>
    </scenario>
  </scenarios>
  <mergeCells count="12">
    <mergeCell ref="A74:A87"/>
    <mergeCell ref="H74:H87"/>
    <mergeCell ref="V74:V87"/>
    <mergeCell ref="O74:O87"/>
    <mergeCell ref="A31:A44"/>
    <mergeCell ref="H31:H44"/>
    <mergeCell ref="O31:O44"/>
    <mergeCell ref="V31:V44"/>
    <mergeCell ref="A49:A69"/>
    <mergeCell ref="H49:H69"/>
    <mergeCell ref="O49:O69"/>
    <mergeCell ref="V49:V69"/>
  </mergeCells>
  <conditionalFormatting sqref="D16:K22">
    <cfRule type="cellIs" dxfId="7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DCA48-378C-46C6-AE5C-50A14F8CF3A3}">
  <sheetPr codeName="Sheet7"/>
  <dimension ref="A1:AA115"/>
  <sheetViews>
    <sheetView zoomScale="70" zoomScaleNormal="70" workbookViewId="0"/>
  </sheetViews>
  <sheetFormatPr defaultColWidth="14.7109375" defaultRowHeight="15" x14ac:dyDescent="0.25"/>
  <cols>
    <col min="1" max="2" width="14.7109375" style="61"/>
    <col min="3" max="3" width="14.85546875" style="61" customWidth="1"/>
    <col min="4" max="4" width="14.7109375" style="61"/>
    <col min="5" max="5" width="15.7109375" style="61" customWidth="1"/>
    <col min="6" max="16384" width="14.7109375" style="61"/>
  </cols>
  <sheetData>
    <row r="1" spans="1:22" s="65" customFormat="1" x14ac:dyDescent="0.25">
      <c r="A1" s="9" t="s">
        <v>12</v>
      </c>
      <c r="C1" s="9" t="s">
        <v>14</v>
      </c>
    </row>
    <row r="2" spans="1:22" x14ac:dyDescent="0.25">
      <c r="A2" s="13" t="s">
        <v>8</v>
      </c>
      <c r="B2" s="85">
        <v>0.06</v>
      </c>
      <c r="C2" s="20">
        <f>Discount_rate</f>
        <v>0.06</v>
      </c>
      <c r="D2" s="62" t="s">
        <v>83</v>
      </c>
    </row>
    <row r="3" spans="1:22" x14ac:dyDescent="0.25">
      <c r="A3" s="31" t="s">
        <v>13</v>
      </c>
      <c r="B3" s="24">
        <v>354975.98</v>
      </c>
      <c r="C3" s="32">
        <f>Option_B4_Cost+$E$47</f>
        <v>354975.97731992556</v>
      </c>
      <c r="D3" s="81">
        <f>(Option_B4_Cost+SUM(C50:C53))/1000</f>
        <v>366.74662193764021</v>
      </c>
    </row>
    <row r="4" spans="1:22" x14ac:dyDescent="0.25">
      <c r="A4" s="31" t="s">
        <v>34</v>
      </c>
      <c r="B4" s="15">
        <v>30</v>
      </c>
      <c r="C4" s="19">
        <f>Network_payment_duration_years</f>
        <v>30</v>
      </c>
    </row>
    <row r="5" spans="1:22" x14ac:dyDescent="0.25">
      <c r="A5" s="11"/>
      <c r="B5" s="25"/>
      <c r="D5" s="65"/>
      <c r="E5" s="65"/>
    </row>
    <row r="6" spans="1:22" x14ac:dyDescent="0.25">
      <c r="A6" s="30" t="s">
        <v>15</v>
      </c>
      <c r="B6" s="31" t="s">
        <v>9</v>
      </c>
      <c r="C6" s="10" t="s">
        <v>89</v>
      </c>
      <c r="D6" s="10" t="s">
        <v>20</v>
      </c>
      <c r="E6" s="10" t="s">
        <v>21</v>
      </c>
    </row>
    <row r="7" spans="1:22" x14ac:dyDescent="0.25">
      <c r="A7" s="30" t="s">
        <v>7</v>
      </c>
      <c r="B7" s="24">
        <f>E25</f>
        <v>56571.176144421333</v>
      </c>
      <c r="C7" s="24">
        <f>L25</f>
        <v>8685.8770012444584</v>
      </c>
      <c r="D7" s="24">
        <f>S25</f>
        <v>29897.91898733197</v>
      </c>
      <c r="E7" s="24">
        <f>Z25</f>
        <v>132820.69154864171</v>
      </c>
      <c r="G7" s="29"/>
      <c r="H7" s="29"/>
      <c r="I7" s="29"/>
      <c r="J7" s="29"/>
      <c r="K7" s="29"/>
      <c r="L7" s="29"/>
      <c r="M7" s="29"/>
      <c r="N7" s="29"/>
      <c r="O7" s="29"/>
      <c r="P7" s="29"/>
      <c r="T7" s="29"/>
      <c r="U7" s="29"/>
      <c r="V7" s="29"/>
    </row>
    <row r="8" spans="1:22" x14ac:dyDescent="0.25">
      <c r="A8" s="11"/>
      <c r="B8" s="25"/>
      <c r="D8" s="65"/>
      <c r="E8" s="65"/>
      <c r="G8" s="29"/>
      <c r="H8" s="29"/>
      <c r="I8" s="29"/>
      <c r="J8" s="29"/>
      <c r="K8" s="29"/>
      <c r="L8" s="29"/>
      <c r="M8" s="29"/>
      <c r="N8" s="29"/>
      <c r="O8" s="29"/>
      <c r="P8" s="29"/>
      <c r="T8" s="29"/>
      <c r="U8" s="29"/>
      <c r="V8" s="29"/>
    </row>
    <row r="9" spans="1:22" s="65" customFormat="1" x14ac:dyDescent="0.25">
      <c r="A9" s="30" t="str">
        <f>Assumptions!A20</f>
        <v>Scenario weightings</v>
      </c>
      <c r="B9" s="5" t="str">
        <f>Assumptions!B20</f>
        <v>Neutral</v>
      </c>
      <c r="C9" s="5" t="str">
        <f>Assumptions!C20</f>
        <v>NeutralWS</v>
      </c>
      <c r="D9" s="5" t="str">
        <f>Assumptions!D20</f>
        <v>Slow Change</v>
      </c>
      <c r="E9" s="5" t="str">
        <f>Assumptions!E20</f>
        <v>Fast Change</v>
      </c>
      <c r="F9" s="5" t="str">
        <f>Assumptions!F20</f>
        <v>Total</v>
      </c>
    </row>
    <row r="10" spans="1:22" s="65" customFormat="1" x14ac:dyDescent="0.25">
      <c r="A10" s="31" t="str">
        <f>Assumptions!A21</f>
        <v>Set A - all equal</v>
      </c>
      <c r="B10" s="7">
        <f>Assumptions!B21</f>
        <v>0.25</v>
      </c>
      <c r="C10" s="7">
        <f>Assumptions!C21</f>
        <v>0.25</v>
      </c>
      <c r="D10" s="7">
        <f>Assumptions!D21</f>
        <v>0.25</v>
      </c>
      <c r="E10" s="7">
        <f>Assumptions!E21</f>
        <v>0.25</v>
      </c>
      <c r="F10" s="7">
        <f>Assumptions!F21</f>
        <v>1</v>
      </c>
    </row>
    <row r="11" spans="1:22" s="65" customFormat="1" x14ac:dyDescent="0.25">
      <c r="A11" s="31" t="str">
        <f>Assumptions!A22</f>
        <v>Set B - more Neutral</v>
      </c>
      <c r="B11" s="7">
        <f>Assumptions!B22</f>
        <v>0.4</v>
      </c>
      <c r="C11" s="7">
        <f>Assumptions!C22</f>
        <v>0.4</v>
      </c>
      <c r="D11" s="7">
        <f>Assumptions!D22</f>
        <v>0.1</v>
      </c>
      <c r="E11" s="7">
        <f>Assumptions!E22</f>
        <v>0.1</v>
      </c>
      <c r="F11" s="7">
        <f>Assumptions!F22</f>
        <v>1</v>
      </c>
    </row>
    <row r="12" spans="1:22" s="65" customFormat="1" x14ac:dyDescent="0.25">
      <c r="A12" s="31" t="str">
        <f>Assumptions!A23</f>
        <v>Set C - Slow Change</v>
      </c>
      <c r="B12" s="7">
        <f>Assumptions!B23</f>
        <v>0.2</v>
      </c>
      <c r="C12" s="7">
        <f>Assumptions!C23</f>
        <v>0.2</v>
      </c>
      <c r="D12" s="7">
        <f>Assumptions!D23</f>
        <v>0.4</v>
      </c>
      <c r="E12" s="7">
        <f>Assumptions!E23</f>
        <v>0.2</v>
      </c>
      <c r="F12" s="7">
        <f>Assumptions!F23</f>
        <v>1</v>
      </c>
    </row>
    <row r="13" spans="1:22" s="65" customFormat="1" x14ac:dyDescent="0.25">
      <c r="A13" s="31" t="str">
        <f>Assumptions!A24</f>
        <v>Set D - Fast Change</v>
      </c>
      <c r="B13" s="7">
        <f>Assumptions!B24</f>
        <v>0.2</v>
      </c>
      <c r="C13" s="7">
        <f>Assumptions!C24</f>
        <v>0.2</v>
      </c>
      <c r="D13" s="7">
        <f>Assumptions!D24</f>
        <v>0.2</v>
      </c>
      <c r="E13" s="7">
        <f>Assumptions!E24</f>
        <v>0.4</v>
      </c>
      <c r="F13" s="7">
        <f>Assumptions!F24</f>
        <v>1</v>
      </c>
    </row>
    <row r="14" spans="1:22" s="65" customFormat="1" x14ac:dyDescent="0.25">
      <c r="A14" s="11"/>
      <c r="B14" s="72"/>
      <c r="C14" s="72"/>
      <c r="D14" s="72"/>
      <c r="E14" s="72"/>
      <c r="F14" s="72"/>
    </row>
    <row r="15" spans="1:22" s="65" customFormat="1" x14ac:dyDescent="0.25">
      <c r="A15" s="33"/>
      <c r="B15" s="5" t="s">
        <v>35</v>
      </c>
      <c r="C15" s="33" t="str">
        <f ca="1">MID(CELL("filename",C1),FIND("]",CELL("filename",C1))+1,255)</f>
        <v>Benefits - Option B4</v>
      </c>
      <c r="D15" s="2" t="s">
        <v>9</v>
      </c>
      <c r="E15" s="2" t="s">
        <v>89</v>
      </c>
      <c r="F15" s="2" t="s">
        <v>20</v>
      </c>
      <c r="G15" s="2" t="s">
        <v>21</v>
      </c>
      <c r="H15" s="2" t="s">
        <v>17</v>
      </c>
      <c r="I15" s="92" t="s">
        <v>18</v>
      </c>
      <c r="J15" s="92" t="s">
        <v>19</v>
      </c>
      <c r="K15" s="92" t="s">
        <v>43</v>
      </c>
      <c r="L15" s="29"/>
      <c r="M15" s="29"/>
      <c r="N15" s="29"/>
      <c r="O15" s="29"/>
      <c r="P15" s="29"/>
      <c r="T15" s="29"/>
      <c r="U15" s="29"/>
      <c r="V15" s="29"/>
    </row>
    <row r="16" spans="1:22" s="82" customFormat="1" x14ac:dyDescent="0.25">
      <c r="A16" s="22" t="s">
        <v>8</v>
      </c>
      <c r="B16" s="23">
        <f>Assumptions!B9+Discount_rate</f>
        <v>0.06</v>
      </c>
      <c r="C16" s="57" t="s">
        <v>36</v>
      </c>
      <c r="D16" s="2">
        <v>56571.18</v>
      </c>
      <c r="E16" s="2">
        <v>8685.8799999999992</v>
      </c>
      <c r="F16" s="2">
        <v>29897.919999999998</v>
      </c>
      <c r="G16" s="2">
        <v>132820.69</v>
      </c>
      <c r="H16" s="2">
        <f>$B$10*$D16+$C$10*$E16+$D$10*$F16+$E$10*$G16</f>
        <v>56993.917499999996</v>
      </c>
      <c r="I16" s="2">
        <f t="shared" ref="I16:I22" si="0">$B$11*$D16+$C$11*$E16+$D$11*$F16+$E$11*$G16</f>
        <v>42374.685000000005</v>
      </c>
      <c r="J16" s="2">
        <f t="shared" ref="J16:J22" si="1">$B$12*$D16+$C$12*$E16+$D$12*$F16+$E$12*$G16</f>
        <v>51574.718000000008</v>
      </c>
      <c r="K16" s="2">
        <f t="shared" ref="K16:K22" si="2">$B$13*$D16+$C$13*$E16+$D$13*$F16+$E$13*$G16</f>
        <v>72159.271999999997</v>
      </c>
      <c r="L16" s="29"/>
      <c r="M16" s="29"/>
      <c r="N16" s="29"/>
      <c r="O16" s="29"/>
      <c r="P16" s="29"/>
      <c r="T16" s="29"/>
      <c r="U16" s="29"/>
      <c r="V16" s="29"/>
    </row>
    <row r="17" spans="1:26" s="82" customFormat="1" x14ac:dyDescent="0.25">
      <c r="A17" s="22"/>
      <c r="B17" s="23">
        <f>Assumptions!B10+Discount_rate</f>
        <v>8.4999999999999992E-2</v>
      </c>
      <c r="C17" s="22" t="str">
        <f>"Discount rate " &amp;Assumptions!B10</f>
        <v>Discount rate 0.025</v>
      </c>
      <c r="D17" s="2">
        <v>12752.48</v>
      </c>
      <c r="E17" s="2">
        <v>-26737.06</v>
      </c>
      <c r="F17" s="2">
        <v>-497.78</v>
      </c>
      <c r="G17" s="2">
        <v>40309.49</v>
      </c>
      <c r="H17" s="2">
        <f t="shared" ref="H17:H22" si="3">$B$10*$D17+$C$10*$E17+$D$10*$F17+$E$10*$G17</f>
        <v>6456.7824999999993</v>
      </c>
      <c r="I17" s="2">
        <f t="shared" si="0"/>
        <v>-1612.6610000000005</v>
      </c>
      <c r="J17" s="2">
        <f t="shared" si="1"/>
        <v>5065.87</v>
      </c>
      <c r="K17" s="2">
        <f t="shared" si="2"/>
        <v>13227.324000000001</v>
      </c>
      <c r="L17" s="29"/>
      <c r="M17" s="29"/>
      <c r="N17" s="29"/>
      <c r="O17" s="29"/>
      <c r="P17" s="29"/>
      <c r="T17" s="29"/>
      <c r="U17" s="29"/>
      <c r="V17" s="29"/>
    </row>
    <row r="18" spans="1:26" s="82" customFormat="1" x14ac:dyDescent="0.25">
      <c r="A18" s="22"/>
      <c r="B18" s="23">
        <f>Assumptions!B11+Discount_rate</f>
        <v>3.4999999999999996E-2</v>
      </c>
      <c r="C18" s="22" t="str">
        <f>"Discount rate " &amp;Assumptions!B11</f>
        <v>Discount rate -0.025</v>
      </c>
      <c r="D18" s="2">
        <v>139958.43</v>
      </c>
      <c r="E18" s="2">
        <v>80793.63</v>
      </c>
      <c r="F18" s="2">
        <v>86928.78</v>
      </c>
      <c r="G18" s="2">
        <v>321400.92</v>
      </c>
      <c r="H18" s="2">
        <f t="shared" si="3"/>
        <v>157270.44</v>
      </c>
      <c r="I18" s="2">
        <f t="shared" si="0"/>
        <v>129133.79400000001</v>
      </c>
      <c r="J18" s="2">
        <f t="shared" si="1"/>
        <v>143202.10800000001</v>
      </c>
      <c r="K18" s="2">
        <f t="shared" si="2"/>
        <v>190096.53600000002</v>
      </c>
      <c r="L18" s="29"/>
      <c r="M18" s="29"/>
      <c r="N18" s="29"/>
      <c r="O18" s="29"/>
      <c r="P18" s="29"/>
      <c r="T18" s="29"/>
      <c r="U18" s="29"/>
      <c r="V18" s="29"/>
    </row>
    <row r="19" spans="1:26" s="82" customFormat="1" x14ac:dyDescent="0.25">
      <c r="A19" s="21" t="s">
        <v>13</v>
      </c>
      <c r="B19" s="24">
        <f>Assumptions!B13*(Option_B4_Cost+$E$47)</f>
        <v>461468.77051590325</v>
      </c>
      <c r="C19" s="21" t="str">
        <f>"Cost x "&amp;Assumptions!B13</f>
        <v>Cost x 1.3</v>
      </c>
      <c r="D19" s="2">
        <v>-25885.19</v>
      </c>
      <c r="E19" s="2">
        <v>-73770.490000000005</v>
      </c>
      <c r="F19" s="2">
        <v>-52558.45</v>
      </c>
      <c r="G19" s="2">
        <v>50364.33</v>
      </c>
      <c r="H19" s="2">
        <f t="shared" si="3"/>
        <v>-25462.45</v>
      </c>
      <c r="I19" s="2">
        <f t="shared" si="0"/>
        <v>-40081.684000000008</v>
      </c>
      <c r="J19" s="2">
        <f t="shared" si="1"/>
        <v>-30881.65</v>
      </c>
      <c r="K19" s="2">
        <f t="shared" si="2"/>
        <v>-10297.093999999997</v>
      </c>
      <c r="L19" s="29"/>
      <c r="M19" s="29"/>
      <c r="N19" s="29"/>
      <c r="O19" s="29"/>
      <c r="P19" s="29"/>
      <c r="T19" s="29"/>
      <c r="U19" s="29"/>
      <c r="V19" s="29"/>
    </row>
    <row r="20" spans="1:26" s="82" customFormat="1" x14ac:dyDescent="0.25">
      <c r="A20" s="21"/>
      <c r="B20" s="24">
        <f>Assumptions!B14*(Option_B4_Cost+$E$47)</f>
        <v>248483.18412394787</v>
      </c>
      <c r="C20" s="21" t="str">
        <f>"Cost x "&amp;Assumptions!B14</f>
        <v>Cost x 0.7</v>
      </c>
      <c r="D20" s="2">
        <v>139027.54999999999</v>
      </c>
      <c r="E20" s="2">
        <v>91142.25</v>
      </c>
      <c r="F20" s="2">
        <v>112354.29</v>
      </c>
      <c r="G20" s="2">
        <v>215277.06</v>
      </c>
      <c r="H20" s="2">
        <f t="shared" si="3"/>
        <v>139450.28749999998</v>
      </c>
      <c r="I20" s="2">
        <f t="shared" si="0"/>
        <v>124831.05500000001</v>
      </c>
      <c r="J20" s="2">
        <f t="shared" si="1"/>
        <v>134031.08800000002</v>
      </c>
      <c r="K20" s="2">
        <f t="shared" si="2"/>
        <v>154615.64199999999</v>
      </c>
      <c r="L20" s="29"/>
      <c r="M20" s="29"/>
      <c r="N20" s="29"/>
      <c r="O20" s="29"/>
      <c r="P20" s="29"/>
      <c r="T20" s="29"/>
      <c r="U20" s="29"/>
      <c r="V20" s="29"/>
    </row>
    <row r="21" spans="1:26" s="82" customFormat="1" x14ac:dyDescent="0.25">
      <c r="A21" s="55" t="s">
        <v>33</v>
      </c>
      <c r="B21" s="56">
        <f>Network_payment_duration_years+Assumptions!B16</f>
        <v>25</v>
      </c>
      <c r="C21" s="55" t="str">
        <f>"Payback "&amp;Assumptions!B16&amp;" years"</f>
        <v>Payback -5 years</v>
      </c>
      <c r="D21" s="2">
        <v>55963.54</v>
      </c>
      <c r="E21" s="2">
        <v>8078.24</v>
      </c>
      <c r="F21" s="2">
        <v>29290.28</v>
      </c>
      <c r="G21" s="2">
        <v>132213.04999999999</v>
      </c>
      <c r="H21" s="2">
        <f t="shared" si="3"/>
        <v>56386.277499999997</v>
      </c>
      <c r="I21" s="2">
        <f t="shared" si="0"/>
        <v>41767.044999999998</v>
      </c>
      <c r="J21" s="2">
        <f t="shared" si="1"/>
        <v>50967.078000000001</v>
      </c>
      <c r="K21" s="2">
        <f t="shared" si="2"/>
        <v>71551.631999999998</v>
      </c>
      <c r="L21" s="29"/>
      <c r="M21" s="29"/>
      <c r="N21" s="29"/>
      <c r="O21" s="29"/>
      <c r="P21" s="29"/>
      <c r="T21" s="29"/>
      <c r="U21" s="29"/>
      <c r="V21" s="29"/>
    </row>
    <row r="22" spans="1:26" s="82" customFormat="1" x14ac:dyDescent="0.25">
      <c r="A22" s="55"/>
      <c r="B22" s="56">
        <f>Network_payment_duration_years+Assumptions!B17</f>
        <v>35</v>
      </c>
      <c r="C22" s="55" t="str">
        <f>"Payback +"&amp;Assumptions!B17&amp;" years"</f>
        <v>Payback +5 years</v>
      </c>
      <c r="D22" s="2">
        <v>56971.53</v>
      </c>
      <c r="E22" s="2">
        <v>9086.23</v>
      </c>
      <c r="F22" s="2">
        <v>30298.27</v>
      </c>
      <c r="G22" s="2">
        <v>133221.04999999999</v>
      </c>
      <c r="H22" s="2">
        <f t="shared" si="3"/>
        <v>57394.27</v>
      </c>
      <c r="I22" s="2">
        <f t="shared" si="0"/>
        <v>42775.036</v>
      </c>
      <c r="J22" s="2">
        <f t="shared" si="1"/>
        <v>51975.07</v>
      </c>
      <c r="K22" s="2">
        <f t="shared" si="2"/>
        <v>72559.625999999989</v>
      </c>
      <c r="L22" s="29"/>
      <c r="M22" s="29"/>
      <c r="N22" s="29"/>
      <c r="O22" s="29"/>
      <c r="P22" s="29"/>
      <c r="T22" s="29"/>
      <c r="U22" s="29"/>
      <c r="V22" s="29"/>
    </row>
    <row r="23" spans="1:26" s="65" customFormat="1" x14ac:dyDescent="0.25">
      <c r="A23" s="91"/>
      <c r="B23" s="12"/>
      <c r="C23" s="4"/>
      <c r="E23" s="4"/>
    </row>
    <row r="24" spans="1:26" s="82" customFormat="1" x14ac:dyDescent="0.25">
      <c r="A24" s="4"/>
      <c r="C24" s="13" t="s">
        <v>4</v>
      </c>
      <c r="D24" s="13" t="s">
        <v>5</v>
      </c>
      <c r="E24" s="13" t="s">
        <v>6</v>
      </c>
      <c r="H24" s="4"/>
      <c r="J24" s="13" t="s">
        <v>4</v>
      </c>
      <c r="K24" s="13" t="s">
        <v>5</v>
      </c>
      <c r="L24" s="13" t="s">
        <v>6</v>
      </c>
      <c r="O24" s="4"/>
      <c r="Q24" s="13" t="s">
        <v>4</v>
      </c>
      <c r="R24" s="13" t="s">
        <v>5</v>
      </c>
      <c r="S24" s="13" t="s">
        <v>6</v>
      </c>
      <c r="V24" s="4"/>
      <c r="X24" s="13" t="s">
        <v>4</v>
      </c>
      <c r="Y24" s="13" t="s">
        <v>5</v>
      </c>
      <c r="Z24" s="13" t="s">
        <v>6</v>
      </c>
    </row>
    <row r="25" spans="1:26" s="82" customFormat="1" x14ac:dyDescent="0.25">
      <c r="A25" s="25"/>
      <c r="B25" s="53" t="s">
        <v>7</v>
      </c>
      <c r="C25" s="2">
        <f>NPV($B$2,C31:C44)+C72</f>
        <v>331425.73759098916</v>
      </c>
      <c r="D25" s="2">
        <f>NPV($B$2,D31:D44)+NPV($B$2,E31:E44)</f>
        <v>274854.56144656782</v>
      </c>
      <c r="E25" s="2">
        <f>C25-D25</f>
        <v>56571.176144421333</v>
      </c>
      <c r="F25" s="81"/>
      <c r="H25" s="25"/>
      <c r="I25" s="53" t="s">
        <v>7</v>
      </c>
      <c r="J25" s="2">
        <f>NPV($B$2,J31:J44)+J72</f>
        <v>283540.43844781228</v>
      </c>
      <c r="K25" s="2">
        <f>NPV($B$2,K31:K44)+NPV($B$2,L31:L44)</f>
        <v>274854.56144656782</v>
      </c>
      <c r="L25" s="2">
        <f>J25-K25</f>
        <v>8685.8770012444584</v>
      </c>
      <c r="O25" s="25"/>
      <c r="P25" s="53" t="s">
        <v>7</v>
      </c>
      <c r="Q25" s="2">
        <f>NPV($B$2,Q31:Q44)+Q72</f>
        <v>304752.48043389979</v>
      </c>
      <c r="R25" s="2">
        <f>NPV($B$2,R31:R44)+NPV($B$2,S31:S44)</f>
        <v>274854.56144656782</v>
      </c>
      <c r="S25" s="2">
        <f>Q25-R25</f>
        <v>29897.91898733197</v>
      </c>
      <c r="V25" s="25"/>
      <c r="W25" s="53" t="s">
        <v>7</v>
      </c>
      <c r="X25" s="2">
        <f>NPV($B$2,X31:X44)+X72</f>
        <v>407675.25299520954</v>
      </c>
      <c r="Y25" s="2">
        <f>NPV($B$2,Y31:Y44)+NPV($B$2,Z31:Z44)</f>
        <v>274854.56144656782</v>
      </c>
      <c r="Z25" s="2">
        <f>X25-Y25</f>
        <v>132820.69154864171</v>
      </c>
    </row>
    <row r="26" spans="1:26" s="37" customFormat="1" ht="15.75" thickBot="1" x14ac:dyDescent="0.3">
      <c r="A26" s="36"/>
      <c r="C26" s="36"/>
      <c r="D26" s="36"/>
      <c r="E26" s="36"/>
      <c r="H26" s="36"/>
      <c r="J26" s="36"/>
      <c r="K26" s="36"/>
      <c r="L26" s="36"/>
      <c r="O26" s="36"/>
      <c r="Q26" s="36"/>
      <c r="R26" s="36"/>
      <c r="S26" s="36"/>
      <c r="V26" s="36"/>
      <c r="X26" s="36"/>
      <c r="Y26" s="36"/>
      <c r="Z26" s="36"/>
    </row>
    <row r="27" spans="1:26" s="65" customFormat="1" x14ac:dyDescent="0.25">
      <c r="A27" s="4"/>
      <c r="C27" s="4"/>
      <c r="D27" s="4"/>
      <c r="E27" s="4"/>
      <c r="H27" s="4"/>
      <c r="J27" s="4"/>
      <c r="K27" s="4"/>
      <c r="L27" s="4"/>
      <c r="O27" s="4"/>
      <c r="Q27" s="4"/>
      <c r="R27" s="4"/>
      <c r="S27" s="4"/>
      <c r="V27" s="4"/>
      <c r="X27" s="4"/>
      <c r="Y27" s="4"/>
      <c r="Z27" s="4"/>
    </row>
    <row r="28" spans="1:26" s="65" customFormat="1" x14ac:dyDescent="0.25">
      <c r="A28" s="74" t="s">
        <v>85</v>
      </c>
      <c r="C28" s="4"/>
      <c r="D28" s="4"/>
      <c r="E28" s="4"/>
      <c r="H28" s="4"/>
      <c r="J28" s="4"/>
      <c r="K28" s="4"/>
      <c r="L28" s="4"/>
      <c r="O28" s="4"/>
      <c r="Q28" s="4"/>
      <c r="R28" s="4"/>
      <c r="S28" s="4"/>
      <c r="V28" s="4"/>
      <c r="X28" s="4"/>
      <c r="Y28" s="4"/>
      <c r="Z28" s="4"/>
    </row>
    <row r="29" spans="1:26" x14ac:dyDescent="0.25">
      <c r="A29" s="46" t="s">
        <v>9</v>
      </c>
      <c r="B29" s="27"/>
      <c r="C29" s="27"/>
      <c r="D29" s="27"/>
      <c r="E29" s="28"/>
      <c r="H29" s="46" t="s">
        <v>89</v>
      </c>
      <c r="I29" s="27"/>
      <c r="J29" s="27"/>
      <c r="K29" s="27"/>
      <c r="L29" s="28"/>
      <c r="O29" s="26" t="s">
        <v>20</v>
      </c>
      <c r="P29" s="27"/>
      <c r="Q29" s="27"/>
      <c r="R29" s="27"/>
      <c r="S29" s="28"/>
      <c r="V29" s="46" t="s">
        <v>21</v>
      </c>
      <c r="W29" s="27"/>
      <c r="X29" s="27"/>
      <c r="Y29" s="27"/>
      <c r="Z29" s="28"/>
    </row>
    <row r="30" spans="1:26" x14ac:dyDescent="0.25">
      <c r="A30" s="13" t="s">
        <v>0</v>
      </c>
      <c r="B30" s="13" t="s">
        <v>1</v>
      </c>
      <c r="C30" s="13" t="s">
        <v>84</v>
      </c>
      <c r="D30" s="13" t="s">
        <v>5</v>
      </c>
      <c r="E30" s="53" t="s">
        <v>74</v>
      </c>
      <c r="F30" s="63"/>
      <c r="H30" s="13" t="s">
        <v>0</v>
      </c>
      <c r="I30" s="13" t="s">
        <v>1</v>
      </c>
      <c r="J30" s="13" t="s">
        <v>84</v>
      </c>
      <c r="K30" s="13" t="s">
        <v>5</v>
      </c>
      <c r="L30" s="53" t="s">
        <v>74</v>
      </c>
      <c r="M30" s="63"/>
      <c r="N30" s="63"/>
      <c r="O30" s="13" t="s">
        <v>0</v>
      </c>
      <c r="P30" s="13" t="s">
        <v>1</v>
      </c>
      <c r="Q30" s="13" t="s">
        <v>84</v>
      </c>
      <c r="R30" s="13" t="s">
        <v>5</v>
      </c>
      <c r="S30" s="53" t="s">
        <v>74</v>
      </c>
      <c r="V30" s="13" t="s">
        <v>0</v>
      </c>
      <c r="W30" s="13" t="s">
        <v>1</v>
      </c>
      <c r="X30" s="13" t="s">
        <v>84</v>
      </c>
      <c r="Y30" s="13" t="s">
        <v>5</v>
      </c>
      <c r="Z30" s="53" t="s">
        <v>74</v>
      </c>
    </row>
    <row r="31" spans="1:26" x14ac:dyDescent="0.25">
      <c r="A31" s="95" t="s">
        <v>10</v>
      </c>
      <c r="B31" s="53">
        <v>2020</v>
      </c>
      <c r="C31" s="2">
        <f t="shared" ref="C31:C43" si="4">IF(B31&gt;=Option_B4_Year,SUM(B92:F92),SUM(B110:F110))</f>
        <v>2979.8963841714285</v>
      </c>
      <c r="D31" s="2">
        <f>IF(AND(B31&gt;=Option_B4_Year,B31&lt;=(Option_B4_Year+($B$4-1))),-PMT($B$2,$B$4,$B$3,,0),0)</f>
        <v>0</v>
      </c>
      <c r="E31" s="2">
        <f>D31*Assumptions!$D$31</f>
        <v>0</v>
      </c>
      <c r="F31" s="66"/>
      <c r="H31" s="95" t="s">
        <v>10</v>
      </c>
      <c r="I31" s="53">
        <v>2020</v>
      </c>
      <c r="J31" s="2">
        <f t="shared" ref="J31:J43" si="5">IF(I31&gt;=Option_B4_Year,SUM(I92:M92),SUM(I110:M110))</f>
        <v>2887.5407317857098</v>
      </c>
      <c r="K31" s="2">
        <f t="shared" ref="K31:K43" si="6">IF(AND(I31&gt;=Option_B4_Year,I31&lt;=(Option_B4_Year+($B$4-1))),-PMT($B$2,$B$4,$B$3,,0),0)</f>
        <v>0</v>
      </c>
      <c r="L31" s="2">
        <f>K31*Assumptions!$D$31</f>
        <v>0</v>
      </c>
      <c r="M31" s="63"/>
      <c r="N31" s="63"/>
      <c r="O31" s="95" t="s">
        <v>10</v>
      </c>
      <c r="P31" s="53">
        <v>2020</v>
      </c>
      <c r="Q31" s="2">
        <f t="shared" ref="Q31:Q43" si="7">IF(P31&gt;=Option_B4_Year,SUM(P92:T92),SUM(P110:T110))</f>
        <v>174.23403594400588</v>
      </c>
      <c r="R31" s="2">
        <f t="shared" ref="R31:R43" si="8">IF(AND(P31&gt;=Option_B4_Year,P31&lt;=(Option_B4_Year+($B$4-1))),-PMT($B$2,$B$4,$B$3,,0),0)</f>
        <v>0</v>
      </c>
      <c r="S31" s="2">
        <f>R31*Assumptions!$D$31</f>
        <v>0</v>
      </c>
      <c r="V31" s="95" t="s">
        <v>10</v>
      </c>
      <c r="W31" s="53">
        <v>2020</v>
      </c>
      <c r="X31" s="2">
        <f t="shared" ref="X31:X43" si="9">IF(W31&gt;=Option_B4_Year,SUM(W92:AA92),SUM(W110:AA110))</f>
        <v>0</v>
      </c>
      <c r="Y31" s="2">
        <f t="shared" ref="Y31:Y43" si="10">IF(AND(W31&gt;=Option_B4_Year,W31&lt;=(Option_B4_Year+($B$4-1))),-PMT($B$2,$B$4,$B$3,,0),0)</f>
        <v>0</v>
      </c>
      <c r="Z31" s="2">
        <f>Y31*Assumptions!$D$31</f>
        <v>0</v>
      </c>
    </row>
    <row r="32" spans="1:26" x14ac:dyDescent="0.25">
      <c r="A32" s="96"/>
      <c r="B32" s="53">
        <v>2021</v>
      </c>
      <c r="C32" s="2">
        <f t="shared" si="4"/>
        <v>-7385.4104361963036</v>
      </c>
      <c r="D32" s="2">
        <f t="shared" ref="D32:D43" si="11">IF(AND(B32&gt;=Option_B4_Year,B32&lt;=(Option_B4_Year+($B$4-1))),-PMT($B$2,$B$4,$B$3,,0),0)</f>
        <v>0</v>
      </c>
      <c r="E32" s="2">
        <f>D32*Assumptions!$D$31</f>
        <v>0</v>
      </c>
      <c r="F32" s="48"/>
      <c r="H32" s="96"/>
      <c r="I32" s="53">
        <v>2021</v>
      </c>
      <c r="J32" s="2">
        <f t="shared" si="5"/>
        <v>-7272.2234018583331</v>
      </c>
      <c r="K32" s="2">
        <f t="shared" si="6"/>
        <v>0</v>
      </c>
      <c r="L32" s="2">
        <f>K32*Assumptions!$D$31</f>
        <v>0</v>
      </c>
      <c r="O32" s="96"/>
      <c r="P32" s="53">
        <v>2021</v>
      </c>
      <c r="Q32" s="2">
        <f t="shared" si="7"/>
        <v>-7203.3304420248605</v>
      </c>
      <c r="R32" s="2">
        <f t="shared" si="8"/>
        <v>0</v>
      </c>
      <c r="S32" s="2">
        <f>R32*Assumptions!$D$31</f>
        <v>0</v>
      </c>
      <c r="V32" s="96"/>
      <c r="W32" s="53">
        <v>2021</v>
      </c>
      <c r="X32" s="2">
        <f t="shared" si="9"/>
        <v>-10753.284428262647</v>
      </c>
      <c r="Y32" s="2">
        <f t="shared" si="10"/>
        <v>0</v>
      </c>
      <c r="Z32" s="2">
        <f>Y32*Assumptions!$D$31</f>
        <v>0</v>
      </c>
    </row>
    <row r="33" spans="1:26" x14ac:dyDescent="0.25">
      <c r="A33" s="96"/>
      <c r="B33" s="53">
        <v>2022</v>
      </c>
      <c r="C33" s="2">
        <f t="shared" si="4"/>
        <v>-15478.921648694544</v>
      </c>
      <c r="D33" s="2">
        <f t="shared" si="11"/>
        <v>0</v>
      </c>
      <c r="E33" s="2">
        <f>D33*Assumptions!$D$31</f>
        <v>0</v>
      </c>
      <c r="F33" s="48"/>
      <c r="H33" s="96"/>
      <c r="I33" s="53">
        <v>2022</v>
      </c>
      <c r="J33" s="2">
        <f t="shared" si="5"/>
        <v>-15324.569634523643</v>
      </c>
      <c r="K33" s="2">
        <f t="shared" si="6"/>
        <v>0</v>
      </c>
      <c r="L33" s="2">
        <f>K33*Assumptions!$D$31</f>
        <v>0</v>
      </c>
      <c r="O33" s="96"/>
      <c r="P33" s="53">
        <v>2022</v>
      </c>
      <c r="Q33" s="2">
        <f t="shared" si="7"/>
        <v>-10922.327399780566</v>
      </c>
      <c r="R33" s="2">
        <f t="shared" si="8"/>
        <v>0</v>
      </c>
      <c r="S33" s="2">
        <f>R33*Assumptions!$D$31</f>
        <v>0</v>
      </c>
      <c r="V33" s="96"/>
      <c r="W33" s="53">
        <v>2022</v>
      </c>
      <c r="X33" s="2">
        <f t="shared" si="9"/>
        <v>-34870.924877442827</v>
      </c>
      <c r="Y33" s="2">
        <f t="shared" si="10"/>
        <v>0</v>
      </c>
      <c r="Z33" s="2">
        <f>Y33*Assumptions!$D$31</f>
        <v>0</v>
      </c>
    </row>
    <row r="34" spans="1:26" x14ac:dyDescent="0.25">
      <c r="A34" s="96"/>
      <c r="B34" s="53">
        <v>2023</v>
      </c>
      <c r="C34" s="2">
        <f t="shared" si="4"/>
        <v>-53299.120466974258</v>
      </c>
      <c r="D34" s="2">
        <f t="shared" si="11"/>
        <v>0</v>
      </c>
      <c r="E34" s="2">
        <f>D34*Assumptions!$D$31</f>
        <v>0</v>
      </c>
      <c r="F34" s="64"/>
      <c r="H34" s="96"/>
      <c r="I34" s="53">
        <v>2023</v>
      </c>
      <c r="J34" s="2">
        <f t="shared" si="5"/>
        <v>-50903.479973725451</v>
      </c>
      <c r="K34" s="2">
        <f t="shared" si="6"/>
        <v>0</v>
      </c>
      <c r="L34" s="2">
        <f>K34*Assumptions!$D$31</f>
        <v>0</v>
      </c>
      <c r="O34" s="96"/>
      <c r="P34" s="53">
        <v>2023</v>
      </c>
      <c r="Q34" s="2">
        <f t="shared" si="7"/>
        <v>-9744.2634224900539</v>
      </c>
      <c r="R34" s="2">
        <f t="shared" si="8"/>
        <v>0</v>
      </c>
      <c r="S34" s="2">
        <f>R34*Assumptions!$D$31</f>
        <v>0</v>
      </c>
      <c r="V34" s="96"/>
      <c r="W34" s="53">
        <v>2023</v>
      </c>
      <c r="X34" s="2">
        <f t="shared" si="9"/>
        <v>-131032.21362490779</v>
      </c>
      <c r="Y34" s="2">
        <f t="shared" si="10"/>
        <v>0</v>
      </c>
      <c r="Z34" s="2">
        <f>Y34*Assumptions!$D$31</f>
        <v>0</v>
      </c>
    </row>
    <row r="35" spans="1:26" x14ac:dyDescent="0.25">
      <c r="A35" s="96"/>
      <c r="B35" s="53">
        <v>2024</v>
      </c>
      <c r="C35" s="2">
        <f t="shared" si="4"/>
        <v>7215.5999327209829</v>
      </c>
      <c r="D35" s="2">
        <f t="shared" si="11"/>
        <v>25788.61855211277</v>
      </c>
      <c r="E35" s="2">
        <f>D35*Assumptions!$D$31</f>
        <v>163.48411752786023</v>
      </c>
      <c r="H35" s="96"/>
      <c r="I35" s="53">
        <v>2024</v>
      </c>
      <c r="J35" s="2">
        <f t="shared" si="5"/>
        <v>9055.1148133140669</v>
      </c>
      <c r="K35" s="2">
        <f t="shared" si="6"/>
        <v>25788.61855211277</v>
      </c>
      <c r="L35" s="2">
        <f>K35*Assumptions!$D$31</f>
        <v>163.48411752786023</v>
      </c>
      <c r="O35" s="96"/>
      <c r="P35" s="53">
        <v>2024</v>
      </c>
      <c r="Q35" s="2">
        <f t="shared" si="7"/>
        <v>16977.595898526961</v>
      </c>
      <c r="R35" s="2">
        <f t="shared" si="8"/>
        <v>25788.61855211277</v>
      </c>
      <c r="S35" s="2">
        <f>R35*Assumptions!$D$31</f>
        <v>163.48411752786023</v>
      </c>
      <c r="V35" s="96"/>
      <c r="W35" s="53">
        <v>2024</v>
      </c>
      <c r="X35" s="2">
        <f t="shared" si="9"/>
        <v>-14225.332039899282</v>
      </c>
      <c r="Y35" s="2">
        <f t="shared" si="10"/>
        <v>25788.61855211277</v>
      </c>
      <c r="Z35" s="2">
        <f>Y35*Assumptions!$D$31</f>
        <v>163.48411752786023</v>
      </c>
    </row>
    <row r="36" spans="1:26" x14ac:dyDescent="0.25">
      <c r="A36" s="96"/>
      <c r="B36" s="53">
        <v>2025</v>
      </c>
      <c r="C36" s="2">
        <f t="shared" si="4"/>
        <v>-18611.053221660943</v>
      </c>
      <c r="D36" s="2">
        <f t="shared" si="11"/>
        <v>25788.61855211277</v>
      </c>
      <c r="E36" s="2">
        <f>D36*Assumptions!$D$31</f>
        <v>163.48411752786023</v>
      </c>
      <c r="H36" s="96"/>
      <c r="I36" s="53">
        <v>2025</v>
      </c>
      <c r="J36" s="2">
        <f t="shared" si="5"/>
        <v>10154.591201773523</v>
      </c>
      <c r="K36" s="2">
        <f t="shared" si="6"/>
        <v>25788.61855211277</v>
      </c>
      <c r="L36" s="2">
        <f>K36*Assumptions!$D$31</f>
        <v>163.48411752786023</v>
      </c>
      <c r="O36" s="96"/>
      <c r="P36" s="53">
        <v>2025</v>
      </c>
      <c r="Q36" s="2">
        <f t="shared" si="7"/>
        <v>6305.733966066141</v>
      </c>
      <c r="R36" s="2">
        <f t="shared" si="8"/>
        <v>25788.61855211277</v>
      </c>
      <c r="S36" s="2">
        <f>R36*Assumptions!$D$31</f>
        <v>163.48411752786023</v>
      </c>
      <c r="V36" s="96"/>
      <c r="W36" s="53">
        <v>2025</v>
      </c>
      <c r="X36" s="2">
        <f t="shared" si="9"/>
        <v>1080.9129926143805</v>
      </c>
      <c r="Y36" s="2">
        <f t="shared" si="10"/>
        <v>25788.61855211277</v>
      </c>
      <c r="Z36" s="2">
        <f>Y36*Assumptions!$D$31</f>
        <v>163.48411752786023</v>
      </c>
    </row>
    <row r="37" spans="1:26" x14ac:dyDescent="0.25">
      <c r="A37" s="96"/>
      <c r="B37" s="53">
        <v>2026</v>
      </c>
      <c r="C37" s="2">
        <f t="shared" si="4"/>
        <v>-10521.249977239655</v>
      </c>
      <c r="D37" s="2">
        <f t="shared" si="11"/>
        <v>25788.61855211277</v>
      </c>
      <c r="E37" s="2">
        <f>D37*Assumptions!$D$31</f>
        <v>163.48411752786023</v>
      </c>
      <c r="H37" s="96"/>
      <c r="I37" s="53">
        <v>2026</v>
      </c>
      <c r="J37" s="2">
        <f t="shared" si="5"/>
        <v>9924.820086544365</v>
      </c>
      <c r="K37" s="2">
        <f t="shared" si="6"/>
        <v>25788.61855211277</v>
      </c>
      <c r="L37" s="2">
        <f>K37*Assumptions!$D$31</f>
        <v>163.48411752786023</v>
      </c>
      <c r="O37" s="96"/>
      <c r="P37" s="53">
        <v>2026</v>
      </c>
      <c r="Q37" s="2">
        <f t="shared" si="7"/>
        <v>1354.087777351866</v>
      </c>
      <c r="R37" s="2">
        <f t="shared" si="8"/>
        <v>25788.61855211277</v>
      </c>
      <c r="S37" s="2">
        <f>R37*Assumptions!$D$31</f>
        <v>163.48411752786023</v>
      </c>
      <c r="V37" s="96"/>
      <c r="W37" s="53">
        <v>2026</v>
      </c>
      <c r="X37" s="2">
        <f t="shared" si="9"/>
        <v>-8471.0137994342949</v>
      </c>
      <c r="Y37" s="2">
        <f t="shared" si="10"/>
        <v>25788.61855211277</v>
      </c>
      <c r="Z37" s="2">
        <f>Y37*Assumptions!$D$31</f>
        <v>163.48411752786023</v>
      </c>
    </row>
    <row r="38" spans="1:26" x14ac:dyDescent="0.25">
      <c r="A38" s="96"/>
      <c r="B38" s="53">
        <v>2027</v>
      </c>
      <c r="C38" s="2">
        <f t="shared" si="4"/>
        <v>-6835.2698110104029</v>
      </c>
      <c r="D38" s="2">
        <f t="shared" si="11"/>
        <v>25788.61855211277</v>
      </c>
      <c r="E38" s="2">
        <f>D38*Assumptions!$D$31</f>
        <v>163.48411752786023</v>
      </c>
      <c r="H38" s="96"/>
      <c r="I38" s="53">
        <v>2027</v>
      </c>
      <c r="J38" s="2">
        <f t="shared" si="5"/>
        <v>6012.9371384026526</v>
      </c>
      <c r="K38" s="2">
        <f t="shared" si="6"/>
        <v>25788.61855211277</v>
      </c>
      <c r="L38" s="2">
        <f>K38*Assumptions!$D$31</f>
        <v>163.48411752786023</v>
      </c>
      <c r="O38" s="96"/>
      <c r="P38" s="53">
        <v>2027</v>
      </c>
      <c r="Q38" s="2">
        <f t="shared" si="7"/>
        <v>1942.8459611450653</v>
      </c>
      <c r="R38" s="2">
        <f t="shared" si="8"/>
        <v>25788.61855211277</v>
      </c>
      <c r="S38" s="2">
        <f>R38*Assumptions!$D$31</f>
        <v>163.48411752786023</v>
      </c>
      <c r="V38" s="96"/>
      <c r="W38" s="53">
        <v>2027</v>
      </c>
      <c r="X38" s="2">
        <f t="shared" si="9"/>
        <v>-6447.6124134852143</v>
      </c>
      <c r="Y38" s="2">
        <f t="shared" si="10"/>
        <v>25788.61855211277</v>
      </c>
      <c r="Z38" s="2">
        <f>Y38*Assumptions!$D$31</f>
        <v>163.48411752786023</v>
      </c>
    </row>
    <row r="39" spans="1:26" x14ac:dyDescent="0.25">
      <c r="A39" s="96"/>
      <c r="B39" s="53">
        <v>2028</v>
      </c>
      <c r="C39" s="2">
        <f t="shared" si="4"/>
        <v>-8637.7504590345852</v>
      </c>
      <c r="D39" s="2">
        <f t="shared" si="11"/>
        <v>25788.61855211277</v>
      </c>
      <c r="E39" s="2">
        <f>D39*Assumptions!$D$31</f>
        <v>163.48411752786023</v>
      </c>
      <c r="H39" s="96"/>
      <c r="I39" s="53">
        <v>2028</v>
      </c>
      <c r="J39" s="2">
        <f t="shared" si="5"/>
        <v>5943.869301398583</v>
      </c>
      <c r="K39" s="2">
        <f t="shared" si="6"/>
        <v>25788.61855211277</v>
      </c>
      <c r="L39" s="2">
        <f>K39*Assumptions!$D$31</f>
        <v>163.48411752786023</v>
      </c>
      <c r="O39" s="96"/>
      <c r="P39" s="53">
        <v>2028</v>
      </c>
      <c r="Q39" s="2">
        <f t="shared" si="7"/>
        <v>1820.648192457038</v>
      </c>
      <c r="R39" s="2">
        <f t="shared" si="8"/>
        <v>25788.61855211277</v>
      </c>
      <c r="S39" s="2">
        <f>R39*Assumptions!$D$31</f>
        <v>163.48411752786023</v>
      </c>
      <c r="V39" s="96"/>
      <c r="W39" s="53">
        <v>2028</v>
      </c>
      <c r="X39" s="2">
        <f t="shared" si="9"/>
        <v>-5105.5457344038296</v>
      </c>
      <c r="Y39" s="2">
        <f t="shared" si="10"/>
        <v>25788.61855211277</v>
      </c>
      <c r="Z39" s="2">
        <f>Y39*Assumptions!$D$31</f>
        <v>163.48411752786023</v>
      </c>
    </row>
    <row r="40" spans="1:26" x14ac:dyDescent="0.25">
      <c r="A40" s="96"/>
      <c r="B40" s="53">
        <v>2029</v>
      </c>
      <c r="C40" s="2">
        <f t="shared" si="4"/>
        <v>2727.5452869091459</v>
      </c>
      <c r="D40" s="2">
        <f t="shared" si="11"/>
        <v>25788.61855211277</v>
      </c>
      <c r="E40" s="2">
        <f>D40*Assumptions!$D$31</f>
        <v>163.48411752786023</v>
      </c>
      <c r="H40" s="96"/>
      <c r="I40" s="53">
        <v>2029</v>
      </c>
      <c r="J40" s="2">
        <f t="shared" si="5"/>
        <v>7752.6655062819191</v>
      </c>
      <c r="K40" s="2">
        <f t="shared" si="6"/>
        <v>25788.61855211277</v>
      </c>
      <c r="L40" s="2">
        <f>K40*Assumptions!$D$31</f>
        <v>163.48411752786023</v>
      </c>
      <c r="O40" s="96"/>
      <c r="P40" s="53">
        <v>2029</v>
      </c>
      <c r="Q40" s="2">
        <f t="shared" si="7"/>
        <v>6297.903276165569</v>
      </c>
      <c r="R40" s="2">
        <f t="shared" si="8"/>
        <v>25788.61855211277</v>
      </c>
      <c r="S40" s="2">
        <f>R40*Assumptions!$D$31</f>
        <v>163.48411752786023</v>
      </c>
      <c r="V40" s="96"/>
      <c r="W40" s="53">
        <v>2029</v>
      </c>
      <c r="X40" s="2">
        <f t="shared" si="9"/>
        <v>34476.203838692745</v>
      </c>
      <c r="Y40" s="2">
        <f t="shared" si="10"/>
        <v>25788.61855211277</v>
      </c>
      <c r="Z40" s="2">
        <f>Y40*Assumptions!$D$31</f>
        <v>163.48411752786023</v>
      </c>
    </row>
    <row r="41" spans="1:26" x14ac:dyDescent="0.25">
      <c r="A41" s="96"/>
      <c r="B41" s="53">
        <v>2030</v>
      </c>
      <c r="C41" s="2">
        <f t="shared" si="4"/>
        <v>6278.5107591879205</v>
      </c>
      <c r="D41" s="2">
        <f>IF(AND(B41&gt;=Option_B4_Year,B41&lt;=(Option_B4_Year+($B$4-1))),-PMT($B$2,$B$4,$B$3,,0),0)</f>
        <v>25788.61855211277</v>
      </c>
      <c r="E41" s="2">
        <f>D41*Assumptions!$D$31</f>
        <v>163.48411752786023</v>
      </c>
      <c r="H41" s="96"/>
      <c r="I41" s="53">
        <v>2030</v>
      </c>
      <c r="J41" s="2">
        <f t="shared" si="5"/>
        <v>8051.3514454414835</v>
      </c>
      <c r="K41" s="2">
        <f t="shared" si="6"/>
        <v>25788.61855211277</v>
      </c>
      <c r="L41" s="2">
        <f>K41*Assumptions!$D$31</f>
        <v>163.48411752786023</v>
      </c>
      <c r="O41" s="96"/>
      <c r="P41" s="53">
        <v>2030</v>
      </c>
      <c r="Q41" s="2">
        <f t="shared" si="7"/>
        <v>5594.0102359199627</v>
      </c>
      <c r="R41" s="2">
        <f t="shared" si="8"/>
        <v>25788.61855211277</v>
      </c>
      <c r="S41" s="2">
        <f>R41*Assumptions!$D$31</f>
        <v>163.48411752786023</v>
      </c>
      <c r="V41" s="96"/>
      <c r="W41" s="53">
        <v>2030</v>
      </c>
      <c r="X41" s="2">
        <f t="shared" si="9"/>
        <v>30337.588645064563</v>
      </c>
      <c r="Y41" s="2">
        <f t="shared" si="10"/>
        <v>25788.61855211277</v>
      </c>
      <c r="Z41" s="2">
        <f>Y41*Assumptions!$D$31</f>
        <v>163.48411752786023</v>
      </c>
    </row>
    <row r="42" spans="1:26" x14ac:dyDescent="0.25">
      <c r="A42" s="96"/>
      <c r="B42" s="53">
        <v>2031</v>
      </c>
      <c r="C42" s="2">
        <f t="shared" si="4"/>
        <v>9262.610678412675</v>
      </c>
      <c r="D42" s="2">
        <f t="shared" si="11"/>
        <v>25788.61855211277</v>
      </c>
      <c r="E42" s="2">
        <f>D42*Assumptions!$D$31</f>
        <v>163.48411752786023</v>
      </c>
      <c r="H42" s="96"/>
      <c r="I42" s="53">
        <v>2031</v>
      </c>
      <c r="J42" s="2">
        <f t="shared" si="5"/>
        <v>10654.624406840732</v>
      </c>
      <c r="K42" s="2">
        <f t="shared" si="6"/>
        <v>25788.61855211277</v>
      </c>
      <c r="L42" s="2">
        <f>K42*Assumptions!$D$31</f>
        <v>163.48411752786023</v>
      </c>
      <c r="O42" s="96"/>
      <c r="P42" s="53">
        <v>2031</v>
      </c>
      <c r="Q42" s="2">
        <f t="shared" si="7"/>
        <v>6843.3072451369371</v>
      </c>
      <c r="R42" s="2">
        <f t="shared" si="8"/>
        <v>25788.61855211277</v>
      </c>
      <c r="S42" s="2">
        <f>R42*Assumptions!$D$31</f>
        <v>163.48411752786023</v>
      </c>
      <c r="V42" s="96"/>
      <c r="W42" s="53">
        <v>2031</v>
      </c>
      <c r="X42" s="2">
        <f t="shared" si="9"/>
        <v>10133.404896875407</v>
      </c>
      <c r="Y42" s="2">
        <f t="shared" si="10"/>
        <v>25788.61855211277</v>
      </c>
      <c r="Z42" s="2">
        <f>Y42*Assumptions!$D$31</f>
        <v>163.48411752786023</v>
      </c>
    </row>
    <row r="43" spans="1:26" x14ac:dyDescent="0.25">
      <c r="A43" s="96"/>
      <c r="B43" s="53">
        <v>2032</v>
      </c>
      <c r="C43" s="2">
        <f t="shared" si="4"/>
        <v>11212.2347621644</v>
      </c>
      <c r="D43" s="2">
        <f t="shared" si="11"/>
        <v>25788.61855211277</v>
      </c>
      <c r="E43" s="2">
        <f>D43*Assumptions!$D$31</f>
        <v>163.48411752786023</v>
      </c>
      <c r="H43" s="96"/>
      <c r="I43" s="53">
        <v>2032</v>
      </c>
      <c r="J43" s="2">
        <f t="shared" si="5"/>
        <v>7131.2062903361584</v>
      </c>
      <c r="K43" s="2">
        <f t="shared" si="6"/>
        <v>25788.61855211277</v>
      </c>
      <c r="L43" s="2">
        <f>K43*Assumptions!$D$31</f>
        <v>163.48411752786023</v>
      </c>
      <c r="O43" s="96"/>
      <c r="P43" s="53">
        <v>2032</v>
      </c>
      <c r="Q43" s="2">
        <f t="shared" si="7"/>
        <v>4548.8272782950116</v>
      </c>
      <c r="R43" s="2">
        <f t="shared" si="8"/>
        <v>25788.61855211277</v>
      </c>
      <c r="S43" s="2">
        <f>R43*Assumptions!$D$31</f>
        <v>163.48411752786023</v>
      </c>
      <c r="V43" s="96"/>
      <c r="W43" s="53">
        <v>2032</v>
      </c>
      <c r="X43" s="2">
        <f t="shared" si="9"/>
        <v>31005.414167605457</v>
      </c>
      <c r="Y43" s="2">
        <f t="shared" si="10"/>
        <v>25788.61855211277</v>
      </c>
      <c r="Z43" s="2">
        <f>Y43*Assumptions!$D$31</f>
        <v>163.48411752786023</v>
      </c>
    </row>
    <row r="44" spans="1:26" x14ac:dyDescent="0.25">
      <c r="A44" s="97"/>
      <c r="B44" s="53" t="s">
        <v>44</v>
      </c>
      <c r="C44" s="2">
        <f>-PV($B$2,(Network_option_lifespan-(B43-Option_B4_Year)),AVERAGE(C41:C43),,0)</f>
        <v>135769.21011713284</v>
      </c>
      <c r="D44" s="2">
        <f>-PV($B$2,($B$4-COUNTIF(D31:D43,"&gt;"&amp;0)),$D$43,,0)</f>
        <v>303379.28460422345</v>
      </c>
      <c r="E44" s="2">
        <f>-PV($B$2,($B$4-COUNTIF(E31:E43,"&gt;"&amp;0)),$E$43,,0)</f>
        <v>1923.2396849613979</v>
      </c>
      <c r="H44" s="97"/>
      <c r="I44" s="53" t="s">
        <v>44</v>
      </c>
      <c r="J44" s="2">
        <f>-PV($B$2,(Network_option_lifespan-(I43-Option_B4_Year)),AVERAGE(J41:J43),,0)</f>
        <v>131119.76624400495</v>
      </c>
      <c r="K44" s="2">
        <f>-PV($B$2,($B$4-COUNTIF(K31:K43,"&gt;"&amp;0)),$D$43,,0)</f>
        <v>303379.28460422345</v>
      </c>
      <c r="L44" s="2">
        <f>-PV($B$2,($B$4-COUNTIF(L31:L43,"&gt;"&amp;0)),$E$43,,0)</f>
        <v>1923.2396849613979</v>
      </c>
      <c r="O44" s="97"/>
      <c r="P44" s="53" t="s">
        <v>44</v>
      </c>
      <c r="Q44" s="2">
        <f>-PV($B$2,(Network_option_lifespan-(P43-Option_B4_Year)),AVERAGE(Q41:Q43),,0)</f>
        <v>86202.098895268413</v>
      </c>
      <c r="R44" s="2">
        <f>-PV($B$2,($B$4-COUNTIF(R31:R43,"&gt;"&amp;0)),$D$43,,0)</f>
        <v>303379.28460422345</v>
      </c>
      <c r="S44" s="2">
        <f>-PV($B$2,($B$4-COUNTIF(S31:S43,"&gt;"&amp;0)),$E$43,,0)</f>
        <v>1923.2396849613979</v>
      </c>
      <c r="V44" s="97"/>
      <c r="W44" s="53" t="s">
        <v>44</v>
      </c>
      <c r="X44" s="2">
        <f>-PV($B$2,(Network_option_lifespan-(W43-Option_B4_Year)),AVERAGE(X41:X43),,0)</f>
        <v>362731.88845070475</v>
      </c>
      <c r="Y44" s="2">
        <f>-PV($B$2,($B$4-COUNTIF(Y31:Y43,"&gt;"&amp;0)),$D$43,,0)</f>
        <v>303379.28460422345</v>
      </c>
      <c r="Z44" s="2">
        <f>-PV($B$2,($B$4-COUNTIF(Z31:Z43,"&gt;"&amp;0)),$E$43,,0)</f>
        <v>1923.2396849613979</v>
      </c>
    </row>
    <row r="46" spans="1:26" x14ac:dyDescent="0.25">
      <c r="A46" s="62" t="s">
        <v>67</v>
      </c>
    </row>
    <row r="47" spans="1:26" x14ac:dyDescent="0.25">
      <c r="A47" s="46" t="s">
        <v>9</v>
      </c>
      <c r="B47" s="27"/>
      <c r="C47" s="60"/>
      <c r="D47" s="27"/>
      <c r="E47" s="60">
        <f>NPV($B$2,C49:C69)</f>
        <v>51623.976505212035</v>
      </c>
      <c r="H47" s="46" t="s">
        <v>89</v>
      </c>
      <c r="I47" s="27"/>
      <c r="J47" s="60"/>
      <c r="K47" s="27"/>
      <c r="L47" s="60">
        <f>NPV($B$2,J49:J69)</f>
        <v>51623.976505212035</v>
      </c>
      <c r="O47" s="46" t="s">
        <v>20</v>
      </c>
      <c r="P47" s="27"/>
      <c r="Q47" s="60"/>
      <c r="R47" s="27"/>
      <c r="S47" s="60">
        <f>NPV($B$2,Q49:Q69)</f>
        <v>51623.976505212035</v>
      </c>
      <c r="V47" s="46" t="s">
        <v>21</v>
      </c>
      <c r="W47" s="27"/>
      <c r="X47" s="60"/>
      <c r="Y47" s="27"/>
      <c r="Z47" s="60">
        <f>NPV($B$2,X49:X69)</f>
        <v>51623.976505212035</v>
      </c>
    </row>
    <row r="48" spans="1:26" x14ac:dyDescent="0.25">
      <c r="A48" s="13" t="s">
        <v>0</v>
      </c>
      <c r="B48" s="13" t="s">
        <v>1</v>
      </c>
      <c r="C48" s="13" t="s">
        <v>26</v>
      </c>
      <c r="D48" s="13" t="s">
        <v>27</v>
      </c>
      <c r="E48" s="53" t="s">
        <v>28</v>
      </c>
      <c r="F48" s="63"/>
      <c r="H48" s="13" t="s">
        <v>0</v>
      </c>
      <c r="I48" s="13" t="s">
        <v>1</v>
      </c>
      <c r="J48" s="13" t="s">
        <v>26</v>
      </c>
      <c r="K48" s="13" t="s">
        <v>27</v>
      </c>
      <c r="L48" s="53" t="s">
        <v>28</v>
      </c>
      <c r="M48" s="63"/>
      <c r="N48" s="63"/>
      <c r="O48" s="13" t="s">
        <v>0</v>
      </c>
      <c r="P48" s="13" t="s">
        <v>1</v>
      </c>
      <c r="Q48" s="13" t="s">
        <v>26</v>
      </c>
      <c r="R48" s="13" t="s">
        <v>27</v>
      </c>
      <c r="S48" s="53" t="s">
        <v>28</v>
      </c>
      <c r="V48" s="13" t="s">
        <v>0</v>
      </c>
      <c r="W48" s="13" t="s">
        <v>1</v>
      </c>
      <c r="X48" s="13" t="s">
        <v>26</v>
      </c>
      <c r="Y48" s="13" t="s">
        <v>27</v>
      </c>
      <c r="Z48" s="53" t="s">
        <v>28</v>
      </c>
    </row>
    <row r="49" spans="1:26" x14ac:dyDescent="0.25">
      <c r="A49" s="95" t="s">
        <v>10</v>
      </c>
      <c r="B49" s="13">
        <v>2020</v>
      </c>
      <c r="C49" s="2">
        <v>0</v>
      </c>
      <c r="D49" s="2">
        <v>0</v>
      </c>
      <c r="E49" s="2">
        <v>0</v>
      </c>
      <c r="F49" s="66"/>
      <c r="H49" s="95" t="s">
        <v>10</v>
      </c>
      <c r="I49" s="13">
        <v>2020</v>
      </c>
      <c r="J49" s="2">
        <v>0</v>
      </c>
      <c r="K49" s="2">
        <v>0</v>
      </c>
      <c r="L49" s="2">
        <v>0</v>
      </c>
      <c r="M49" s="63"/>
      <c r="N49" s="63"/>
      <c r="O49" s="95" t="s">
        <v>10</v>
      </c>
      <c r="P49" s="13">
        <v>2020</v>
      </c>
      <c r="Q49" s="2">
        <v>0</v>
      </c>
      <c r="R49" s="2">
        <v>0</v>
      </c>
      <c r="S49" s="2">
        <v>0</v>
      </c>
      <c r="V49" s="95" t="s">
        <v>10</v>
      </c>
      <c r="W49" s="13">
        <v>2020</v>
      </c>
      <c r="X49" s="2">
        <v>0</v>
      </c>
      <c r="Y49" s="2">
        <v>0</v>
      </c>
      <c r="Z49" s="2">
        <v>0</v>
      </c>
    </row>
    <row r="50" spans="1:26" x14ac:dyDescent="0.25">
      <c r="A50" s="96"/>
      <c r="B50" s="53">
        <v>2021</v>
      </c>
      <c r="C50" s="2">
        <v>13257.330316187974</v>
      </c>
      <c r="D50" s="2">
        <v>0</v>
      </c>
      <c r="E50" s="2">
        <v>0</v>
      </c>
      <c r="H50" s="96" t="s">
        <v>10</v>
      </c>
      <c r="I50" s="53">
        <v>2021</v>
      </c>
      <c r="J50" s="2">
        <v>13257.330316187974</v>
      </c>
      <c r="K50" s="2">
        <v>0</v>
      </c>
      <c r="L50" s="2">
        <v>0</v>
      </c>
      <c r="O50" s="96" t="s">
        <v>10</v>
      </c>
      <c r="P50" s="53">
        <v>2021</v>
      </c>
      <c r="Q50" s="2">
        <v>13257.330316187974</v>
      </c>
      <c r="R50" s="2">
        <v>0</v>
      </c>
      <c r="S50" s="2">
        <v>0</v>
      </c>
      <c r="V50" s="96" t="s">
        <v>10</v>
      </c>
      <c r="W50" s="53">
        <v>2021</v>
      </c>
      <c r="X50" s="2">
        <v>13257.330316187974</v>
      </c>
      <c r="Y50" s="2">
        <v>0</v>
      </c>
      <c r="Z50" s="2">
        <v>0</v>
      </c>
    </row>
    <row r="51" spans="1:26" x14ac:dyDescent="0.25">
      <c r="A51" s="96"/>
      <c r="B51" s="53">
        <v>2022</v>
      </c>
      <c r="C51" s="2">
        <v>16014.97468291111</v>
      </c>
      <c r="D51" s="2">
        <v>0</v>
      </c>
      <c r="E51" s="2">
        <v>0</v>
      </c>
      <c r="H51" s="96"/>
      <c r="I51" s="53">
        <v>2022</v>
      </c>
      <c r="J51" s="2">
        <v>16014.97468291111</v>
      </c>
      <c r="K51" s="2">
        <v>0</v>
      </c>
      <c r="L51" s="2">
        <v>0</v>
      </c>
      <c r="O51" s="96"/>
      <c r="P51" s="53">
        <v>2022</v>
      </c>
      <c r="Q51" s="2">
        <v>16014.97468291111</v>
      </c>
      <c r="R51" s="2">
        <v>0</v>
      </c>
      <c r="S51" s="2">
        <v>0</v>
      </c>
      <c r="V51" s="96"/>
      <c r="W51" s="53">
        <v>2022</v>
      </c>
      <c r="X51" s="2">
        <v>16014.97468291111</v>
      </c>
      <c r="Y51" s="2">
        <v>0</v>
      </c>
      <c r="Z51" s="2">
        <v>0</v>
      </c>
    </row>
    <row r="52" spans="1:26" x14ac:dyDescent="0.25">
      <c r="A52" s="96"/>
      <c r="B52" s="53">
        <v>2023</v>
      </c>
      <c r="C52" s="2">
        <v>19634.859588079737</v>
      </c>
      <c r="D52" s="2">
        <v>0</v>
      </c>
      <c r="E52" s="2">
        <v>0</v>
      </c>
      <c r="H52" s="96"/>
      <c r="I52" s="53">
        <v>2023</v>
      </c>
      <c r="J52" s="2">
        <v>19634.859588079737</v>
      </c>
      <c r="K52" s="2">
        <v>0</v>
      </c>
      <c r="L52" s="2">
        <v>0</v>
      </c>
      <c r="O52" s="96"/>
      <c r="P52" s="53">
        <v>2023</v>
      </c>
      <c r="Q52" s="2">
        <v>19634.859588079737</v>
      </c>
      <c r="R52" s="2">
        <v>0</v>
      </c>
      <c r="S52" s="2">
        <v>0</v>
      </c>
      <c r="V52" s="96"/>
      <c r="W52" s="53">
        <v>2023</v>
      </c>
      <c r="X52" s="2">
        <v>19634.859588079737</v>
      </c>
      <c r="Y52" s="2">
        <v>0</v>
      </c>
      <c r="Z52" s="2">
        <v>0</v>
      </c>
    </row>
    <row r="53" spans="1:26" x14ac:dyDescent="0.25">
      <c r="A53" s="96"/>
      <c r="B53" s="53">
        <v>2024</v>
      </c>
      <c r="C53" s="2">
        <v>14487.456535747839</v>
      </c>
      <c r="D53" s="2">
        <v>0</v>
      </c>
      <c r="E53" s="2">
        <v>0</v>
      </c>
      <c r="H53" s="96"/>
      <c r="I53" s="53">
        <v>2024</v>
      </c>
      <c r="J53" s="2">
        <v>14487.456535747839</v>
      </c>
      <c r="K53" s="2">
        <v>0</v>
      </c>
      <c r="L53" s="2">
        <v>0</v>
      </c>
      <c r="O53" s="96"/>
      <c r="P53" s="53">
        <v>2024</v>
      </c>
      <c r="Q53" s="2">
        <v>14487.456535747839</v>
      </c>
      <c r="R53" s="2">
        <v>0</v>
      </c>
      <c r="S53" s="2">
        <v>0</v>
      </c>
      <c r="V53" s="96"/>
      <c r="W53" s="53">
        <v>2024</v>
      </c>
      <c r="X53" s="2">
        <v>14487.456535747839</v>
      </c>
      <c r="Y53" s="2">
        <v>0</v>
      </c>
      <c r="Z53" s="2">
        <v>0</v>
      </c>
    </row>
    <row r="54" spans="1:26" x14ac:dyDescent="0.25">
      <c r="A54" s="96"/>
      <c r="B54" s="53">
        <v>2025</v>
      </c>
      <c r="C54" s="2"/>
      <c r="D54" s="2">
        <v>0</v>
      </c>
      <c r="E54" s="2">
        <v>0</v>
      </c>
      <c r="H54" s="96"/>
      <c r="I54" s="53">
        <v>2025</v>
      </c>
      <c r="J54" s="2"/>
      <c r="K54" s="2">
        <v>0</v>
      </c>
      <c r="L54" s="2">
        <v>0</v>
      </c>
      <c r="O54" s="96"/>
      <c r="P54" s="53">
        <v>2025</v>
      </c>
      <c r="Q54" s="2"/>
      <c r="R54" s="2">
        <v>0</v>
      </c>
      <c r="S54" s="2">
        <v>0</v>
      </c>
      <c r="V54" s="96"/>
      <c r="W54" s="53">
        <v>2025</v>
      </c>
      <c r="X54" s="2"/>
      <c r="Y54" s="2">
        <v>0</v>
      </c>
      <c r="Z54" s="2">
        <v>0</v>
      </c>
    </row>
    <row r="55" spans="1:26" x14ac:dyDescent="0.25">
      <c r="A55" s="96"/>
      <c r="B55" s="53">
        <v>2026</v>
      </c>
      <c r="C55" s="2">
        <v>0</v>
      </c>
      <c r="D55" s="2">
        <v>0</v>
      </c>
      <c r="E55" s="2">
        <v>0</v>
      </c>
      <c r="H55" s="96"/>
      <c r="I55" s="53">
        <v>2026</v>
      </c>
      <c r="J55" s="2">
        <v>0</v>
      </c>
      <c r="K55" s="2">
        <v>0</v>
      </c>
      <c r="L55" s="2">
        <v>0</v>
      </c>
      <c r="O55" s="96"/>
      <c r="P55" s="53">
        <v>2026</v>
      </c>
      <c r="Q55" s="2">
        <v>0</v>
      </c>
      <c r="R55" s="2">
        <v>0</v>
      </c>
      <c r="S55" s="2">
        <v>0</v>
      </c>
      <c r="V55" s="96"/>
      <c r="W55" s="53">
        <v>2026</v>
      </c>
      <c r="X55" s="2">
        <v>0</v>
      </c>
      <c r="Y55" s="2">
        <v>0</v>
      </c>
      <c r="Z55" s="2">
        <v>0</v>
      </c>
    </row>
    <row r="56" spans="1:26" x14ac:dyDescent="0.25">
      <c r="A56" s="96"/>
      <c r="B56" s="53">
        <v>2027</v>
      </c>
      <c r="C56" s="2">
        <v>0</v>
      </c>
      <c r="D56" s="2">
        <v>0</v>
      </c>
      <c r="E56" s="2">
        <v>0</v>
      </c>
      <c r="H56" s="96"/>
      <c r="I56" s="53">
        <v>2027</v>
      </c>
      <c r="J56" s="2">
        <v>0</v>
      </c>
      <c r="K56" s="2">
        <v>0</v>
      </c>
      <c r="L56" s="2">
        <v>0</v>
      </c>
      <c r="O56" s="96"/>
      <c r="P56" s="53">
        <v>2027</v>
      </c>
      <c r="Q56" s="2">
        <v>0</v>
      </c>
      <c r="R56" s="2">
        <v>0</v>
      </c>
      <c r="S56" s="2">
        <v>0</v>
      </c>
      <c r="V56" s="96"/>
      <c r="W56" s="53">
        <v>2027</v>
      </c>
      <c r="X56" s="2">
        <v>0</v>
      </c>
      <c r="Y56" s="2">
        <v>0</v>
      </c>
      <c r="Z56" s="2">
        <v>0</v>
      </c>
    </row>
    <row r="57" spans="1:26" x14ac:dyDescent="0.25">
      <c r="A57" s="96"/>
      <c r="B57" s="53">
        <v>2028</v>
      </c>
      <c r="C57" s="2">
        <v>0</v>
      </c>
      <c r="D57" s="2">
        <v>0</v>
      </c>
      <c r="E57" s="2">
        <v>0</v>
      </c>
      <c r="H57" s="96"/>
      <c r="I57" s="53">
        <v>2028</v>
      </c>
      <c r="J57" s="2">
        <v>0</v>
      </c>
      <c r="K57" s="2">
        <v>0</v>
      </c>
      <c r="L57" s="2">
        <v>0</v>
      </c>
      <c r="O57" s="96"/>
      <c r="P57" s="53">
        <v>2028</v>
      </c>
      <c r="Q57" s="2">
        <v>0</v>
      </c>
      <c r="R57" s="2">
        <v>0</v>
      </c>
      <c r="S57" s="2">
        <v>0</v>
      </c>
      <c r="V57" s="96"/>
      <c r="W57" s="53">
        <v>2028</v>
      </c>
      <c r="X57" s="2">
        <v>0</v>
      </c>
      <c r="Y57" s="2">
        <v>0</v>
      </c>
      <c r="Z57" s="2">
        <v>0</v>
      </c>
    </row>
    <row r="58" spans="1:26" x14ac:dyDescent="0.25">
      <c r="A58" s="96"/>
      <c r="B58" s="53">
        <v>2029</v>
      </c>
      <c r="C58" s="2">
        <v>0</v>
      </c>
      <c r="D58" s="2">
        <v>0</v>
      </c>
      <c r="E58" s="2">
        <v>0</v>
      </c>
      <c r="H58" s="96"/>
      <c r="I58" s="53">
        <v>2029</v>
      </c>
      <c r="J58" s="2">
        <v>0</v>
      </c>
      <c r="K58" s="2">
        <v>0</v>
      </c>
      <c r="L58" s="2">
        <v>0</v>
      </c>
      <c r="O58" s="96"/>
      <c r="P58" s="53">
        <v>2029</v>
      </c>
      <c r="Q58" s="2">
        <v>0</v>
      </c>
      <c r="R58" s="2">
        <v>0</v>
      </c>
      <c r="S58" s="2">
        <v>0</v>
      </c>
      <c r="V58" s="96"/>
      <c r="W58" s="53">
        <v>2029</v>
      </c>
      <c r="X58" s="2">
        <v>0</v>
      </c>
      <c r="Y58" s="2">
        <v>0</v>
      </c>
      <c r="Z58" s="2">
        <v>0</v>
      </c>
    </row>
    <row r="59" spans="1:26" x14ac:dyDescent="0.25">
      <c r="A59" s="96"/>
      <c r="B59" s="53">
        <v>2030</v>
      </c>
      <c r="C59" s="2">
        <v>0</v>
      </c>
      <c r="D59" s="2">
        <v>0</v>
      </c>
      <c r="E59" s="2">
        <v>0</v>
      </c>
      <c r="H59" s="96"/>
      <c r="I59" s="53">
        <v>2030</v>
      </c>
      <c r="J59" s="2">
        <v>0</v>
      </c>
      <c r="K59" s="2">
        <v>0</v>
      </c>
      <c r="L59" s="2">
        <v>0</v>
      </c>
      <c r="O59" s="96"/>
      <c r="P59" s="53">
        <v>2030</v>
      </c>
      <c r="Q59" s="2">
        <v>0</v>
      </c>
      <c r="R59" s="2">
        <v>0</v>
      </c>
      <c r="S59" s="2">
        <v>0</v>
      </c>
      <c r="V59" s="96"/>
      <c r="W59" s="53">
        <v>2030</v>
      </c>
      <c r="X59" s="2">
        <v>0</v>
      </c>
      <c r="Y59" s="2">
        <v>0</v>
      </c>
      <c r="Z59" s="2">
        <v>0</v>
      </c>
    </row>
    <row r="60" spans="1:26" x14ac:dyDescent="0.25">
      <c r="A60" s="96"/>
      <c r="B60" s="53">
        <v>2031</v>
      </c>
      <c r="C60" s="2">
        <v>0</v>
      </c>
      <c r="D60" s="2">
        <v>0</v>
      </c>
      <c r="E60" s="2">
        <v>0</v>
      </c>
      <c r="H60" s="96"/>
      <c r="I60" s="53">
        <v>2031</v>
      </c>
      <c r="J60" s="2">
        <v>0</v>
      </c>
      <c r="K60" s="2">
        <v>0</v>
      </c>
      <c r="L60" s="2">
        <v>0</v>
      </c>
      <c r="O60" s="96"/>
      <c r="P60" s="53">
        <v>2031</v>
      </c>
      <c r="Q60" s="2">
        <v>0</v>
      </c>
      <c r="R60" s="2">
        <v>0</v>
      </c>
      <c r="S60" s="2">
        <v>0</v>
      </c>
      <c r="V60" s="96"/>
      <c r="W60" s="53">
        <v>2031</v>
      </c>
      <c r="X60" s="2">
        <v>0</v>
      </c>
      <c r="Y60" s="2">
        <v>0</v>
      </c>
      <c r="Z60" s="2">
        <v>0</v>
      </c>
    </row>
    <row r="61" spans="1:26" x14ac:dyDescent="0.25">
      <c r="A61" s="96"/>
      <c r="B61" s="53">
        <v>2032</v>
      </c>
      <c r="C61" s="2">
        <v>0</v>
      </c>
      <c r="D61" s="2">
        <v>0</v>
      </c>
      <c r="E61" s="2">
        <v>0</v>
      </c>
      <c r="H61" s="96"/>
      <c r="I61" s="53">
        <v>2032</v>
      </c>
      <c r="J61" s="2">
        <v>0</v>
      </c>
      <c r="K61" s="2">
        <v>0</v>
      </c>
      <c r="L61" s="2">
        <v>0</v>
      </c>
      <c r="O61" s="96"/>
      <c r="P61" s="53">
        <v>2032</v>
      </c>
      <c r="Q61" s="2">
        <v>0</v>
      </c>
      <c r="R61" s="2">
        <v>0</v>
      </c>
      <c r="S61" s="2">
        <v>0</v>
      </c>
      <c r="V61" s="96"/>
      <c r="W61" s="53">
        <v>2032</v>
      </c>
      <c r="X61" s="2">
        <v>0</v>
      </c>
      <c r="Y61" s="2">
        <v>0</v>
      </c>
      <c r="Z61" s="2">
        <v>0</v>
      </c>
    </row>
    <row r="62" spans="1:26" x14ac:dyDescent="0.25">
      <c r="A62" s="96"/>
      <c r="B62" s="53">
        <v>2033</v>
      </c>
      <c r="C62" s="2">
        <v>0</v>
      </c>
      <c r="D62" s="2">
        <v>0</v>
      </c>
      <c r="E62" s="2">
        <v>0</v>
      </c>
      <c r="H62" s="96"/>
      <c r="I62" s="53">
        <v>2033</v>
      </c>
      <c r="J62" s="2">
        <v>0</v>
      </c>
      <c r="K62" s="2">
        <v>0</v>
      </c>
      <c r="L62" s="2">
        <v>0</v>
      </c>
      <c r="O62" s="96"/>
      <c r="P62" s="53">
        <v>2033</v>
      </c>
      <c r="Q62" s="2">
        <v>0</v>
      </c>
      <c r="R62" s="2">
        <v>0</v>
      </c>
      <c r="S62" s="2">
        <v>0</v>
      </c>
      <c r="V62" s="96"/>
      <c r="W62" s="53">
        <v>2033</v>
      </c>
      <c r="X62" s="2">
        <v>0</v>
      </c>
      <c r="Y62" s="2">
        <v>0</v>
      </c>
      <c r="Z62" s="2">
        <v>0</v>
      </c>
    </row>
    <row r="63" spans="1:26" x14ac:dyDescent="0.25">
      <c r="A63" s="96"/>
      <c r="B63" s="53">
        <v>2034</v>
      </c>
      <c r="C63" s="2">
        <v>0</v>
      </c>
      <c r="D63" s="2">
        <v>0</v>
      </c>
      <c r="E63" s="2">
        <v>0</v>
      </c>
      <c r="H63" s="96"/>
      <c r="I63" s="53">
        <v>2034</v>
      </c>
      <c r="J63" s="2">
        <v>0</v>
      </c>
      <c r="K63" s="2">
        <v>0</v>
      </c>
      <c r="L63" s="2">
        <v>0</v>
      </c>
      <c r="O63" s="96"/>
      <c r="P63" s="53">
        <v>2034</v>
      </c>
      <c r="Q63" s="2">
        <v>0</v>
      </c>
      <c r="R63" s="2">
        <v>0</v>
      </c>
      <c r="S63" s="2">
        <v>0</v>
      </c>
      <c r="V63" s="96"/>
      <c r="W63" s="53">
        <v>2034</v>
      </c>
      <c r="X63" s="2">
        <v>0</v>
      </c>
      <c r="Y63" s="2">
        <v>0</v>
      </c>
      <c r="Z63" s="2">
        <v>0</v>
      </c>
    </row>
    <row r="64" spans="1:26" x14ac:dyDescent="0.25">
      <c r="A64" s="96"/>
      <c r="B64" s="53">
        <v>2035</v>
      </c>
      <c r="C64" s="2">
        <v>0</v>
      </c>
      <c r="D64" s="2">
        <v>0</v>
      </c>
      <c r="E64" s="2">
        <v>0</v>
      </c>
      <c r="H64" s="96"/>
      <c r="I64" s="53">
        <v>2035</v>
      </c>
      <c r="J64" s="2">
        <v>0</v>
      </c>
      <c r="K64" s="2">
        <v>0</v>
      </c>
      <c r="L64" s="2">
        <v>0</v>
      </c>
      <c r="O64" s="96"/>
      <c r="P64" s="53">
        <v>2035</v>
      </c>
      <c r="Q64" s="2">
        <v>0</v>
      </c>
      <c r="R64" s="2">
        <v>0</v>
      </c>
      <c r="S64" s="2">
        <v>0</v>
      </c>
      <c r="V64" s="96"/>
      <c r="W64" s="53">
        <v>2035</v>
      </c>
      <c r="X64" s="2">
        <v>0</v>
      </c>
      <c r="Y64" s="2">
        <v>0</v>
      </c>
      <c r="Z64" s="2">
        <v>0</v>
      </c>
    </row>
    <row r="65" spans="1:27" x14ac:dyDescent="0.25">
      <c r="A65" s="96"/>
      <c r="B65" s="53">
        <v>2036</v>
      </c>
      <c r="C65" s="2">
        <v>0</v>
      </c>
      <c r="D65" s="2">
        <v>0</v>
      </c>
      <c r="E65" s="2">
        <v>0</v>
      </c>
      <c r="H65" s="96"/>
      <c r="I65" s="53">
        <v>2036</v>
      </c>
      <c r="J65" s="2">
        <v>0</v>
      </c>
      <c r="K65" s="2">
        <v>0</v>
      </c>
      <c r="L65" s="2">
        <v>0</v>
      </c>
      <c r="O65" s="96"/>
      <c r="P65" s="53">
        <v>2036</v>
      </c>
      <c r="Q65" s="2">
        <v>0</v>
      </c>
      <c r="R65" s="2">
        <v>0</v>
      </c>
      <c r="S65" s="2">
        <v>0</v>
      </c>
      <c r="V65" s="96"/>
      <c r="W65" s="53">
        <v>2036</v>
      </c>
      <c r="X65" s="2">
        <v>0</v>
      </c>
      <c r="Y65" s="2">
        <v>0</v>
      </c>
      <c r="Z65" s="2">
        <v>0</v>
      </c>
    </row>
    <row r="66" spans="1:27" x14ac:dyDescent="0.25">
      <c r="A66" s="96"/>
      <c r="B66" s="53">
        <v>2037</v>
      </c>
      <c r="C66" s="2">
        <v>0</v>
      </c>
      <c r="D66" s="2">
        <v>0</v>
      </c>
      <c r="E66" s="2">
        <v>0</v>
      </c>
      <c r="H66" s="96"/>
      <c r="I66" s="53">
        <v>2037</v>
      </c>
      <c r="J66" s="2">
        <v>0</v>
      </c>
      <c r="K66" s="2">
        <v>0</v>
      </c>
      <c r="L66" s="2">
        <v>0</v>
      </c>
      <c r="O66" s="96"/>
      <c r="P66" s="53">
        <v>2037</v>
      </c>
      <c r="Q66" s="2">
        <v>0</v>
      </c>
      <c r="R66" s="2">
        <v>0</v>
      </c>
      <c r="S66" s="2">
        <v>0</v>
      </c>
      <c r="V66" s="96"/>
      <c r="W66" s="53">
        <v>2037</v>
      </c>
      <c r="X66" s="2">
        <v>0</v>
      </c>
      <c r="Y66" s="2">
        <v>0</v>
      </c>
      <c r="Z66" s="2">
        <v>0</v>
      </c>
    </row>
    <row r="67" spans="1:27" x14ac:dyDescent="0.25">
      <c r="A67" s="96"/>
      <c r="B67" s="53">
        <v>2038</v>
      </c>
      <c r="C67" s="2">
        <v>0</v>
      </c>
      <c r="D67" s="2">
        <v>0</v>
      </c>
      <c r="E67" s="2">
        <v>0</v>
      </c>
      <c r="H67" s="96"/>
      <c r="I67" s="53">
        <v>2038</v>
      </c>
      <c r="J67" s="2">
        <v>0</v>
      </c>
      <c r="K67" s="2">
        <v>0</v>
      </c>
      <c r="L67" s="2">
        <v>0</v>
      </c>
      <c r="O67" s="96"/>
      <c r="P67" s="53">
        <v>2038</v>
      </c>
      <c r="Q67" s="2">
        <v>0</v>
      </c>
      <c r="R67" s="2">
        <v>0</v>
      </c>
      <c r="S67" s="2">
        <v>0</v>
      </c>
      <c r="V67" s="96"/>
      <c r="W67" s="53">
        <v>2038</v>
      </c>
      <c r="X67" s="2">
        <v>0</v>
      </c>
      <c r="Y67" s="2">
        <v>0</v>
      </c>
      <c r="Z67" s="2">
        <v>0</v>
      </c>
    </row>
    <row r="68" spans="1:27" x14ac:dyDescent="0.25">
      <c r="A68" s="96"/>
      <c r="B68" s="53">
        <v>2039</v>
      </c>
      <c r="C68" s="2">
        <v>0</v>
      </c>
      <c r="D68" s="2">
        <v>0</v>
      </c>
      <c r="E68" s="2">
        <v>0</v>
      </c>
      <c r="H68" s="96"/>
      <c r="I68" s="53">
        <v>2039</v>
      </c>
      <c r="J68" s="2">
        <v>0</v>
      </c>
      <c r="K68" s="2">
        <v>0</v>
      </c>
      <c r="L68" s="2">
        <v>0</v>
      </c>
      <c r="O68" s="96"/>
      <c r="P68" s="53">
        <v>2039</v>
      </c>
      <c r="Q68" s="2">
        <v>0</v>
      </c>
      <c r="R68" s="2">
        <v>0</v>
      </c>
      <c r="S68" s="2">
        <v>0</v>
      </c>
      <c r="V68" s="96"/>
      <c r="W68" s="53">
        <v>2039</v>
      </c>
      <c r="X68" s="2">
        <v>0</v>
      </c>
      <c r="Y68" s="2">
        <v>0</v>
      </c>
      <c r="Z68" s="2">
        <v>0</v>
      </c>
    </row>
    <row r="69" spans="1:27" x14ac:dyDescent="0.25">
      <c r="A69" s="97"/>
      <c r="B69" s="53">
        <v>2040</v>
      </c>
      <c r="C69" s="2">
        <v>0</v>
      </c>
      <c r="D69" s="2">
        <v>0</v>
      </c>
      <c r="E69" s="2">
        <v>0</v>
      </c>
      <c r="H69" s="97"/>
      <c r="I69" s="53">
        <v>2040</v>
      </c>
      <c r="J69" s="2">
        <v>0</v>
      </c>
      <c r="K69" s="2">
        <v>0</v>
      </c>
      <c r="L69" s="2">
        <v>0</v>
      </c>
      <c r="O69" s="97"/>
      <c r="P69" s="53">
        <v>2040</v>
      </c>
      <c r="Q69" s="2">
        <v>0</v>
      </c>
      <c r="R69" s="2">
        <v>0</v>
      </c>
      <c r="S69" s="2">
        <v>0</v>
      </c>
      <c r="V69" s="97"/>
      <c r="W69" s="53">
        <v>2040</v>
      </c>
      <c r="X69" s="2">
        <v>0</v>
      </c>
      <c r="Y69" s="2">
        <v>0</v>
      </c>
      <c r="Z69" s="2">
        <v>0</v>
      </c>
    </row>
    <row r="70" spans="1:27" x14ac:dyDescent="0.25">
      <c r="A70" s="41"/>
      <c r="B70" s="65"/>
      <c r="C70" s="4"/>
      <c r="D70" s="4"/>
      <c r="E70" s="4"/>
      <c r="H70" s="41"/>
      <c r="I70" s="65"/>
      <c r="J70" s="4"/>
      <c r="K70" s="4"/>
      <c r="L70" s="4"/>
      <c r="O70" s="41"/>
      <c r="P70" s="65"/>
      <c r="Q70" s="4"/>
      <c r="R70" s="4"/>
      <c r="S70" s="4"/>
      <c r="V70" s="41"/>
      <c r="W70" s="65"/>
      <c r="X70" s="4"/>
      <c r="Y70" s="4"/>
      <c r="Z70" s="4"/>
    </row>
    <row r="71" spans="1:27" s="82" customFormat="1" x14ac:dyDescent="0.25">
      <c r="A71" s="73" t="s">
        <v>64</v>
      </c>
      <c r="B71" s="65"/>
      <c r="C71" s="4"/>
      <c r="D71" s="4"/>
      <c r="E71" s="4"/>
      <c r="H71" s="73"/>
      <c r="I71" s="65"/>
      <c r="J71" s="4"/>
      <c r="K71" s="4"/>
      <c r="L71" s="4"/>
      <c r="O71" s="73"/>
      <c r="P71" s="65"/>
      <c r="Q71" s="4"/>
      <c r="R71" s="4"/>
      <c r="S71" s="4"/>
      <c r="V71" s="73"/>
      <c r="W71" s="65"/>
      <c r="X71" s="4"/>
      <c r="Y71" s="4"/>
      <c r="Z71" s="4"/>
    </row>
    <row r="72" spans="1:27" s="82" customFormat="1" x14ac:dyDescent="0.25">
      <c r="A72" s="46" t="s">
        <v>9</v>
      </c>
      <c r="B72" s="46"/>
      <c r="C72" s="75">
        <f>NPV($B$2,C74:C87)</f>
        <v>339787.0709082773</v>
      </c>
      <c r="H72" s="46" t="s">
        <v>89</v>
      </c>
      <c r="I72" s="46"/>
      <c r="J72" s="75">
        <f>NPV($B$2,J74:J87)</f>
        <v>237456.09115803623</v>
      </c>
      <c r="L72" s="39"/>
      <c r="O72" s="46" t="s">
        <v>20</v>
      </c>
      <c r="P72" s="46"/>
      <c r="Q72" s="75">
        <f>NPV($B$2,Q74:Q87)</f>
        <v>257434.497721361</v>
      </c>
      <c r="S72" s="39"/>
      <c r="V72" s="46" t="s">
        <v>21</v>
      </c>
      <c r="W72" s="46"/>
      <c r="X72" s="75">
        <f>NPV($B$2,X74:X87)</f>
        <v>357640.7046508558</v>
      </c>
      <c r="Z72" s="39"/>
    </row>
    <row r="73" spans="1:27" s="82" customFormat="1" x14ac:dyDescent="0.25">
      <c r="A73" s="13" t="s">
        <v>0</v>
      </c>
      <c r="B73" s="13" t="s">
        <v>1</v>
      </c>
      <c r="C73" s="13" t="s">
        <v>4</v>
      </c>
      <c r="D73" s="83"/>
      <c r="E73" s="83"/>
      <c r="F73" s="83"/>
      <c r="H73" s="13" t="s">
        <v>0</v>
      </c>
      <c r="I73" s="13" t="s">
        <v>1</v>
      </c>
      <c r="J73" s="13" t="s">
        <v>4</v>
      </c>
      <c r="K73" s="83"/>
      <c r="L73" s="65"/>
      <c r="M73" s="83"/>
      <c r="O73" s="13" t="s">
        <v>0</v>
      </c>
      <c r="P73" s="13" t="s">
        <v>1</v>
      </c>
      <c r="Q73" s="13" t="s">
        <v>4</v>
      </c>
      <c r="R73" s="83"/>
      <c r="S73" s="65"/>
      <c r="T73" s="83"/>
      <c r="V73" s="13" t="s">
        <v>0</v>
      </c>
      <c r="W73" s="13" t="s">
        <v>1</v>
      </c>
      <c r="X73" s="13" t="s">
        <v>4</v>
      </c>
      <c r="Y73" s="83"/>
      <c r="Z73" s="65"/>
      <c r="AA73" s="83"/>
    </row>
    <row r="74" spans="1:27" s="82" customFormat="1" x14ac:dyDescent="0.25">
      <c r="A74" s="93" t="s">
        <v>10</v>
      </c>
      <c r="B74" s="53">
        <v>2020</v>
      </c>
      <c r="C74" s="2">
        <v>-3818.2206315519807</v>
      </c>
      <c r="D74" s="66"/>
      <c r="E74" s="66"/>
      <c r="F74" s="66"/>
      <c r="H74" s="94" t="s">
        <v>10</v>
      </c>
      <c r="I74" s="53">
        <v>2020</v>
      </c>
      <c r="J74" s="2">
        <v>-3852.208726500578</v>
      </c>
      <c r="K74" s="66"/>
      <c r="L74" s="4"/>
      <c r="M74" s="66"/>
      <c r="O74" s="94" t="s">
        <v>10</v>
      </c>
      <c r="P74" s="53">
        <v>2020</v>
      </c>
      <c r="Q74" s="2">
        <v>-177.59276688371983</v>
      </c>
      <c r="R74" s="66"/>
      <c r="S74" s="4"/>
      <c r="T74" s="66"/>
      <c r="V74" s="94" t="s">
        <v>10</v>
      </c>
      <c r="W74" s="53">
        <v>2020</v>
      </c>
      <c r="X74" s="2">
        <v>0</v>
      </c>
      <c r="Y74" s="66"/>
      <c r="Z74" s="4"/>
      <c r="AA74" s="66"/>
    </row>
    <row r="75" spans="1:27" s="82" customFormat="1" x14ac:dyDescent="0.25">
      <c r="A75" s="93"/>
      <c r="B75" s="53">
        <v>2021</v>
      </c>
      <c r="C75" s="2">
        <v>21353.461754340686</v>
      </c>
      <c r="D75" s="48"/>
      <c r="E75" s="48"/>
      <c r="F75" s="48"/>
      <c r="H75" s="94"/>
      <c r="I75" s="53">
        <v>2021</v>
      </c>
      <c r="J75" s="2">
        <v>21319.47365939209</v>
      </c>
      <c r="K75" s="48"/>
      <c r="L75" s="4"/>
      <c r="M75" s="48"/>
      <c r="O75" s="94"/>
      <c r="P75" s="53">
        <v>2021</v>
      </c>
      <c r="Q75" s="2">
        <v>25126.678680963665</v>
      </c>
      <c r="R75" s="48"/>
      <c r="S75" s="4"/>
      <c r="T75" s="48"/>
      <c r="V75" s="94"/>
      <c r="W75" s="53">
        <v>2021</v>
      </c>
      <c r="X75" s="2">
        <v>24249.661438277712</v>
      </c>
      <c r="Y75" s="48"/>
      <c r="Z75" s="4"/>
      <c r="AA75" s="48"/>
    </row>
    <row r="76" spans="1:27" s="82" customFormat="1" x14ac:dyDescent="0.25">
      <c r="A76" s="93"/>
      <c r="B76" s="53">
        <v>2022</v>
      </c>
      <c r="C76" s="2">
        <v>39107.430227171906</v>
      </c>
      <c r="D76" s="48"/>
      <c r="E76" s="48"/>
      <c r="F76" s="48"/>
      <c r="H76" s="94"/>
      <c r="I76" s="53">
        <v>2022</v>
      </c>
      <c r="J76" s="2">
        <v>39073.442132223303</v>
      </c>
      <c r="K76" s="48"/>
      <c r="L76" s="4"/>
      <c r="M76" s="48"/>
      <c r="O76" s="94"/>
      <c r="P76" s="53">
        <v>2022</v>
      </c>
      <c r="Q76" s="2">
        <v>42991.359361449722</v>
      </c>
      <c r="R76" s="48"/>
      <c r="S76" s="4"/>
      <c r="T76" s="48"/>
      <c r="V76" s="94"/>
      <c r="W76" s="53">
        <v>2022</v>
      </c>
      <c r="X76" s="2">
        <v>41444.950231151808</v>
      </c>
      <c r="Y76" s="48"/>
      <c r="Z76" s="4"/>
      <c r="AA76" s="48"/>
    </row>
    <row r="77" spans="1:27" s="82" customFormat="1" x14ac:dyDescent="0.25">
      <c r="A77" s="93"/>
      <c r="B77" s="53">
        <v>2023</v>
      </c>
      <c r="C77" s="2">
        <v>92916.99229363905</v>
      </c>
      <c r="D77" s="81"/>
      <c r="E77" s="81"/>
      <c r="F77" s="81"/>
      <c r="H77" s="94"/>
      <c r="I77" s="53">
        <v>2023</v>
      </c>
      <c r="J77" s="2">
        <v>88419.825173756981</v>
      </c>
      <c r="K77" s="81"/>
      <c r="L77" s="4"/>
      <c r="M77" s="81"/>
      <c r="O77" s="94"/>
      <c r="P77" s="53">
        <v>2023</v>
      </c>
      <c r="Q77" s="2">
        <v>80182.7211054457</v>
      </c>
      <c r="R77" s="81"/>
      <c r="S77" s="4"/>
      <c r="T77" s="81"/>
      <c r="V77" s="94"/>
      <c r="W77" s="53">
        <v>2023</v>
      </c>
      <c r="X77" s="2">
        <v>124644.20390669949</v>
      </c>
      <c r="Y77" s="81"/>
      <c r="Z77" s="4"/>
      <c r="AA77" s="81"/>
    </row>
    <row r="78" spans="1:27" s="82" customFormat="1" x14ac:dyDescent="0.25">
      <c r="A78" s="93"/>
      <c r="B78" s="53">
        <v>2024</v>
      </c>
      <c r="C78" s="2">
        <v>9899.760168110106</v>
      </c>
      <c r="H78" s="94"/>
      <c r="I78" s="53">
        <v>2024</v>
      </c>
      <c r="J78" s="2">
        <v>6563.5111364296108</v>
      </c>
      <c r="L78" s="4"/>
      <c r="O78" s="94"/>
      <c r="P78" s="53">
        <v>2024</v>
      </c>
      <c r="Q78" s="2">
        <v>-14810.307186628052</v>
      </c>
      <c r="S78" s="4"/>
      <c r="V78" s="94"/>
      <c r="W78" s="53">
        <v>2024</v>
      </c>
      <c r="X78" s="2">
        <v>39111.216127469103</v>
      </c>
      <c r="Z78" s="4"/>
    </row>
    <row r="79" spans="1:27" s="82" customFormat="1" x14ac:dyDescent="0.25">
      <c r="A79" s="93"/>
      <c r="B79" s="53">
        <v>2025</v>
      </c>
      <c r="C79" s="2">
        <v>59306.780322415536</v>
      </c>
      <c r="H79" s="94"/>
      <c r="I79" s="53">
        <v>2025</v>
      </c>
      <c r="J79" s="2">
        <v>16361.8044495513</v>
      </c>
      <c r="L79" s="4"/>
      <c r="O79" s="94"/>
      <c r="P79" s="53">
        <v>2025</v>
      </c>
      <c r="Q79" s="2">
        <v>24191.422278981805</v>
      </c>
      <c r="S79" s="4"/>
      <c r="V79" s="94"/>
      <c r="W79" s="53">
        <v>2025</v>
      </c>
      <c r="X79" s="2">
        <v>39111.216127469219</v>
      </c>
      <c r="Z79" s="4"/>
    </row>
    <row r="80" spans="1:27" s="82" customFormat="1" x14ac:dyDescent="0.25">
      <c r="A80" s="93"/>
      <c r="B80" s="53">
        <v>2026</v>
      </c>
      <c r="C80" s="2">
        <v>50405.493790375433</v>
      </c>
      <c r="H80" s="94"/>
      <c r="I80" s="53">
        <v>2026</v>
      </c>
      <c r="J80" s="2">
        <v>16361.804449551073</v>
      </c>
      <c r="L80" s="4"/>
      <c r="O80" s="94"/>
      <c r="P80" s="53">
        <v>2026</v>
      </c>
      <c r="Q80" s="2">
        <v>31521.591996036932</v>
      </c>
      <c r="S80" s="4"/>
      <c r="V80" s="94"/>
      <c r="W80" s="53">
        <v>2026</v>
      </c>
      <c r="X80" s="2">
        <v>39111.216127469103</v>
      </c>
      <c r="Z80" s="4"/>
    </row>
    <row r="81" spans="1:27" s="82" customFormat="1" x14ac:dyDescent="0.25">
      <c r="A81" s="93"/>
      <c r="B81" s="53">
        <v>2027</v>
      </c>
      <c r="C81" s="2">
        <v>50435.62743414077</v>
      </c>
      <c r="H81" s="94"/>
      <c r="I81" s="53">
        <v>2027</v>
      </c>
      <c r="J81" s="2">
        <v>22132.370013628817</v>
      </c>
      <c r="L81" s="4"/>
      <c r="O81" s="94"/>
      <c r="P81" s="53">
        <v>2027</v>
      </c>
      <c r="Q81" s="2">
        <v>31656.610285147734</v>
      </c>
      <c r="S81" s="4"/>
      <c r="V81" s="94"/>
      <c r="W81" s="53">
        <v>2027</v>
      </c>
      <c r="X81" s="2">
        <v>39009.848411512394</v>
      </c>
      <c r="Z81" s="4"/>
    </row>
    <row r="82" spans="1:27" s="82" customFormat="1" x14ac:dyDescent="0.25">
      <c r="A82" s="93"/>
      <c r="B82" s="53">
        <v>2028</v>
      </c>
      <c r="C82" s="2">
        <v>50334.655582910957</v>
      </c>
      <c r="H82" s="94"/>
      <c r="I82" s="53">
        <v>2028</v>
      </c>
      <c r="J82" s="2">
        <v>22132.370013628588</v>
      </c>
      <c r="L82" s="4"/>
      <c r="O82" s="94"/>
      <c r="P82" s="53">
        <v>2028</v>
      </c>
      <c r="Q82" s="2">
        <v>31585.18459045831</v>
      </c>
      <c r="S82" s="4"/>
      <c r="V82" s="94"/>
      <c r="W82" s="53">
        <v>2028</v>
      </c>
      <c r="X82" s="2">
        <v>38233.440637101696</v>
      </c>
      <c r="Z82" s="4"/>
    </row>
    <row r="83" spans="1:27" s="82" customFormat="1" x14ac:dyDescent="0.25">
      <c r="A83" s="93"/>
      <c r="B83" s="53">
        <v>2029</v>
      </c>
      <c r="C83" s="2">
        <v>39034.93866868507</v>
      </c>
      <c r="H83" s="94"/>
      <c r="I83" s="53">
        <v>2029</v>
      </c>
      <c r="J83" s="2">
        <v>21715.100169851896</v>
      </c>
      <c r="L83" s="4"/>
      <c r="O83" s="94"/>
      <c r="P83" s="53">
        <v>2029</v>
      </c>
      <c r="Q83" s="2">
        <v>22480.825790604285</v>
      </c>
      <c r="S83" s="4"/>
      <c r="V83" s="94"/>
      <c r="W83" s="53">
        <v>2029</v>
      </c>
      <c r="X83" s="2">
        <v>21460.429163079425</v>
      </c>
      <c r="Z83" s="4"/>
    </row>
    <row r="84" spans="1:27" s="82" customFormat="1" x14ac:dyDescent="0.25">
      <c r="A84" s="93"/>
      <c r="B84" s="53">
        <v>2030</v>
      </c>
      <c r="C84" s="2">
        <v>18123.379407871198</v>
      </c>
      <c r="H84" s="94"/>
      <c r="I84" s="53">
        <v>2030</v>
      </c>
      <c r="J84" s="2">
        <v>18494.161635298497</v>
      </c>
      <c r="L84" s="4"/>
      <c r="O84" s="94"/>
      <c r="P84" s="53">
        <v>2030</v>
      </c>
      <c r="Q84" s="2">
        <v>20519.124685810537</v>
      </c>
      <c r="S84" s="4"/>
      <c r="V84" s="94"/>
      <c r="W84" s="53">
        <v>2030</v>
      </c>
      <c r="X84" s="2">
        <v>21354.018242052916</v>
      </c>
      <c r="Z84" s="4"/>
    </row>
    <row r="85" spans="1:27" s="82" customFormat="1" x14ac:dyDescent="0.25">
      <c r="A85" s="93"/>
      <c r="B85" s="53">
        <v>2031</v>
      </c>
      <c r="C85" s="2">
        <v>18123.379407871198</v>
      </c>
      <c r="H85" s="94"/>
      <c r="I85" s="53">
        <v>2031</v>
      </c>
      <c r="J85" s="2">
        <v>18494.161635298497</v>
      </c>
      <c r="L85" s="4"/>
      <c r="O85" s="94"/>
      <c r="P85" s="53">
        <v>2031</v>
      </c>
      <c r="Q85" s="2">
        <v>20519.124685810537</v>
      </c>
      <c r="S85" s="4"/>
      <c r="V85" s="94"/>
      <c r="W85" s="53">
        <v>2031</v>
      </c>
      <c r="X85" s="2">
        <v>30841.660465424182</v>
      </c>
      <c r="Z85" s="4"/>
    </row>
    <row r="86" spans="1:27" s="82" customFormat="1" x14ac:dyDescent="0.25">
      <c r="A86" s="93"/>
      <c r="B86" s="53">
        <v>2032</v>
      </c>
      <c r="C86" s="2">
        <v>18134.847663496203</v>
      </c>
      <c r="H86" s="94"/>
      <c r="I86" s="53">
        <v>2032</v>
      </c>
      <c r="J86" s="2">
        <v>20154.019531396669</v>
      </c>
      <c r="L86" s="4"/>
      <c r="O86" s="94"/>
      <c r="P86" s="53">
        <v>2032</v>
      </c>
      <c r="Q86" s="2">
        <v>23105.662846284304</v>
      </c>
      <c r="S86" s="4"/>
      <c r="V86" s="94"/>
      <c r="W86" s="53">
        <v>2032</v>
      </c>
      <c r="X86" s="2">
        <v>18293.052320706465</v>
      </c>
      <c r="Z86" s="4"/>
    </row>
    <row r="87" spans="1:27" s="82" customFormat="1" x14ac:dyDescent="0.25">
      <c r="A87" s="93"/>
      <c r="B87" s="53" t="s">
        <v>73</v>
      </c>
      <c r="C87" s="2">
        <v>56366.804993421967</v>
      </c>
      <c r="H87" s="94"/>
      <c r="I87" s="53" t="s">
        <v>73</v>
      </c>
      <c r="J87" s="2">
        <v>55295.932854706734</v>
      </c>
      <c r="L87" s="4"/>
      <c r="O87" s="94"/>
      <c r="P87" s="53" t="s">
        <v>73</v>
      </c>
      <c r="Q87" s="2">
        <v>58174.576673136246</v>
      </c>
      <c r="S87" s="4"/>
      <c r="V87" s="94"/>
      <c r="W87" s="53" t="s">
        <v>73</v>
      </c>
      <c r="X87" s="2">
        <v>57607.021068159156</v>
      </c>
      <c r="Z87" s="4"/>
    </row>
    <row r="88" spans="1:27" s="82" customFormat="1" x14ac:dyDescent="0.25">
      <c r="A88" s="41"/>
      <c r="B88" s="65"/>
      <c r="C88" s="4"/>
      <c r="D88" s="4"/>
      <c r="E88" s="4"/>
      <c r="H88" s="41"/>
      <c r="I88" s="65"/>
      <c r="J88" s="4"/>
      <c r="K88" s="4"/>
      <c r="L88" s="4"/>
      <c r="O88" s="41"/>
      <c r="P88" s="65"/>
      <c r="Q88" s="4"/>
      <c r="R88" s="4"/>
      <c r="S88" s="4"/>
      <c r="V88" s="41"/>
      <c r="W88" s="65"/>
      <c r="X88" s="4"/>
      <c r="Y88" s="4"/>
      <c r="Z88" s="4"/>
    </row>
    <row r="89" spans="1:27" x14ac:dyDescent="0.25">
      <c r="A89" s="62" t="s">
        <v>25</v>
      </c>
    </row>
    <row r="90" spans="1:27" x14ac:dyDescent="0.25">
      <c r="A90" s="46" t="s">
        <v>9</v>
      </c>
      <c r="B90" s="46"/>
      <c r="C90" s="46"/>
      <c r="D90" s="46"/>
      <c r="E90" s="46"/>
      <c r="F90" s="53"/>
      <c r="H90" s="46" t="s">
        <v>89</v>
      </c>
      <c r="I90" s="46"/>
      <c r="J90" s="46"/>
      <c r="K90" s="46"/>
      <c r="L90" s="46"/>
      <c r="M90" s="53"/>
      <c r="N90" s="65"/>
      <c r="O90" s="46" t="s">
        <v>20</v>
      </c>
      <c r="P90" s="46"/>
      <c r="Q90" s="46"/>
      <c r="R90" s="46"/>
      <c r="S90" s="46"/>
      <c r="T90" s="53"/>
      <c r="V90" s="46" t="s">
        <v>21</v>
      </c>
      <c r="W90" s="46"/>
      <c r="X90" s="46"/>
      <c r="Y90" s="46"/>
      <c r="Z90" s="46"/>
      <c r="AA90" s="53"/>
    </row>
    <row r="91" spans="1:27" x14ac:dyDescent="0.25">
      <c r="A91" s="53" t="s">
        <v>1</v>
      </c>
      <c r="B91" s="46" t="s">
        <v>2</v>
      </c>
      <c r="C91" s="46" t="s">
        <v>22</v>
      </c>
      <c r="D91" s="46" t="s">
        <v>3</v>
      </c>
      <c r="E91" s="46" t="s">
        <v>23</v>
      </c>
      <c r="F91" s="46" t="s">
        <v>24</v>
      </c>
      <c r="H91" s="53" t="s">
        <v>1</v>
      </c>
      <c r="I91" s="46" t="s">
        <v>2</v>
      </c>
      <c r="J91" s="46" t="s">
        <v>22</v>
      </c>
      <c r="K91" s="46" t="s">
        <v>3</v>
      </c>
      <c r="L91" s="46" t="s">
        <v>23</v>
      </c>
      <c r="M91" s="46" t="s">
        <v>24</v>
      </c>
      <c r="N91" s="39"/>
      <c r="O91" s="53" t="s">
        <v>1</v>
      </c>
      <c r="P91" s="46" t="s">
        <v>2</v>
      </c>
      <c r="Q91" s="46" t="s">
        <v>22</v>
      </c>
      <c r="R91" s="46" t="s">
        <v>3</v>
      </c>
      <c r="S91" s="46" t="s">
        <v>23</v>
      </c>
      <c r="T91" s="46" t="s">
        <v>24</v>
      </c>
      <c r="V91" s="53" t="s">
        <v>1</v>
      </c>
      <c r="W91" s="46" t="s">
        <v>2</v>
      </c>
      <c r="X91" s="46" t="s">
        <v>22</v>
      </c>
      <c r="Y91" s="46" t="s">
        <v>3</v>
      </c>
      <c r="Z91" s="46" t="s">
        <v>23</v>
      </c>
      <c r="AA91" s="46" t="s">
        <v>24</v>
      </c>
    </row>
    <row r="92" spans="1:27" x14ac:dyDescent="0.25">
      <c r="A92" s="53">
        <v>2020</v>
      </c>
      <c r="B92" s="78">
        <v>5135.9857165500243</v>
      </c>
      <c r="C92" s="78">
        <v>989.72201746030623</v>
      </c>
      <c r="D92" s="78">
        <v>1113.5897205222418</v>
      </c>
      <c r="E92" s="78">
        <v>0.81092067788983602</v>
      </c>
      <c r="F92" s="78">
        <v>907.34520227870416</v>
      </c>
      <c r="H92" s="53">
        <v>2020</v>
      </c>
      <c r="I92" s="46">
        <v>4866.5579961121211</v>
      </c>
      <c r="J92" s="46">
        <v>1532.5235555204008</v>
      </c>
      <c r="K92" s="46">
        <v>1492.8709438731869</v>
      </c>
      <c r="L92" s="46">
        <v>-0.77299479199901278</v>
      </c>
      <c r="M92" s="46">
        <v>1025.599599162719</v>
      </c>
      <c r="N92" s="39"/>
      <c r="O92" s="53">
        <v>2020</v>
      </c>
      <c r="P92" s="46">
        <v>1681.5875539381884</v>
      </c>
      <c r="Q92" s="46">
        <v>1981.5080907413021</v>
      </c>
      <c r="R92" s="46">
        <v>154.3869028416039</v>
      </c>
      <c r="S92" s="46">
        <v>7.0198020590154835</v>
      </c>
      <c r="T92" s="46">
        <v>1121.8487617611895</v>
      </c>
      <c r="V92" s="53">
        <v>2020</v>
      </c>
      <c r="W92" s="46">
        <v>4229.7362963154446</v>
      </c>
      <c r="X92" s="46">
        <v>1065.6795646145474</v>
      </c>
      <c r="Y92" s="46">
        <v>189.74166061199503</v>
      </c>
      <c r="Z92" s="46">
        <v>30.346695766012999</v>
      </c>
      <c r="AA92" s="46">
        <v>703.40398972627008</v>
      </c>
    </row>
    <row r="93" spans="1:27" x14ac:dyDescent="0.25">
      <c r="A93" s="53">
        <v>2021</v>
      </c>
      <c r="B93" s="78">
        <v>-1178.2274185329118</v>
      </c>
      <c r="C93" s="78">
        <v>-1358.9690060894441</v>
      </c>
      <c r="D93" s="78">
        <v>417.68597848760686</v>
      </c>
      <c r="E93" s="78">
        <v>-1.1991692026497875</v>
      </c>
      <c r="F93" s="78">
        <v>337.87693875859105</v>
      </c>
      <c r="H93" s="53">
        <v>2021</v>
      </c>
      <c r="I93" s="53">
        <v>-1278.8046559526658</v>
      </c>
      <c r="J93" s="53">
        <v>-899.72666738974874</v>
      </c>
      <c r="K93" s="53">
        <v>442.6576897158323</v>
      </c>
      <c r="L93" s="53">
        <v>0.69842421424550061</v>
      </c>
      <c r="M93" s="53">
        <v>351.30779507635231</v>
      </c>
      <c r="N93" s="65"/>
      <c r="O93" s="53">
        <v>2021</v>
      </c>
      <c r="P93" s="53">
        <v>-2417.6030865653697</v>
      </c>
      <c r="Q93" s="53">
        <v>-927.38640006072876</v>
      </c>
      <c r="R93" s="53">
        <v>-267.28571292877268</v>
      </c>
      <c r="S93" s="53">
        <v>-11.650563629999917</v>
      </c>
      <c r="T93" s="53">
        <v>322.71334718190593</v>
      </c>
      <c r="V93" s="53">
        <v>2021</v>
      </c>
      <c r="W93" s="53">
        <v>-2615.0765536451572</v>
      </c>
      <c r="X93" s="53">
        <v>-922.74035811023896</v>
      </c>
      <c r="Y93" s="53">
        <v>-863.77167990060946</v>
      </c>
      <c r="Z93" s="53">
        <v>-31.807648180727242</v>
      </c>
      <c r="AA93" s="53">
        <v>-398.56896191740043</v>
      </c>
    </row>
    <row r="94" spans="1:27" x14ac:dyDescent="0.25">
      <c r="A94" s="53">
        <v>2022</v>
      </c>
      <c r="B94" s="79">
        <v>-5312.6462821911791</v>
      </c>
      <c r="C94" s="79">
        <v>-1897.2082005208968</v>
      </c>
      <c r="D94" s="79">
        <v>-1065.0368926489455</v>
      </c>
      <c r="E94" s="79">
        <v>3.333770763096125E-2</v>
      </c>
      <c r="F94" s="79">
        <v>-365.88681617131897</v>
      </c>
      <c r="H94" s="53">
        <v>2022</v>
      </c>
      <c r="I94" s="53">
        <v>-4836.5550388762058</v>
      </c>
      <c r="J94" s="53">
        <v>-2088.2905286644032</v>
      </c>
      <c r="K94" s="53">
        <v>-2008.8527723987133</v>
      </c>
      <c r="L94" s="53">
        <v>5.8755505094159313</v>
      </c>
      <c r="M94" s="53">
        <v>-282.80357981898982</v>
      </c>
      <c r="N94" s="39"/>
      <c r="O94" s="53">
        <v>2022</v>
      </c>
      <c r="P94" s="53">
        <v>-4936.0588174181348</v>
      </c>
      <c r="Q94" s="53">
        <v>-2017.8700428609652</v>
      </c>
      <c r="R94" s="53">
        <v>-243.38371288056632</v>
      </c>
      <c r="S94" s="53">
        <v>-4.6709015934872866</v>
      </c>
      <c r="T94" s="53">
        <v>548.20481121709122</v>
      </c>
      <c r="V94" s="53">
        <v>2022</v>
      </c>
      <c r="W94" s="53">
        <v>-7680.3991175372721</v>
      </c>
      <c r="X94" s="53">
        <v>-2962.4757004545977</v>
      </c>
      <c r="Y94" s="53">
        <v>-16633.071628424677</v>
      </c>
      <c r="Z94" s="53">
        <v>731.81161416924306</v>
      </c>
      <c r="AA94" s="53">
        <v>-2406.2711055165828</v>
      </c>
    </row>
    <row r="95" spans="1:27" x14ac:dyDescent="0.25">
      <c r="A95" s="53">
        <v>2023</v>
      </c>
      <c r="B95" s="78">
        <v>-15549.665879613171</v>
      </c>
      <c r="C95" s="78">
        <v>-20083.897116649583</v>
      </c>
      <c r="D95" s="78">
        <v>-10868.344704095174</v>
      </c>
      <c r="E95" s="78">
        <v>2.996779702045913</v>
      </c>
      <c r="F95" s="78">
        <v>-7695.3148084463355</v>
      </c>
      <c r="H95" s="53">
        <v>2023</v>
      </c>
      <c r="I95" s="53">
        <v>-17041.760334586248</v>
      </c>
      <c r="J95" s="53">
        <v>-13079.877035233936</v>
      </c>
      <c r="K95" s="53">
        <v>-7586.5786854858425</v>
      </c>
      <c r="L95" s="53">
        <v>1.8706351394984058</v>
      </c>
      <c r="M95" s="53">
        <v>-7244.6922139417811</v>
      </c>
      <c r="N95" s="39"/>
      <c r="O95" s="53">
        <v>2023</v>
      </c>
      <c r="P95" s="53">
        <v>3821.7940201122451</v>
      </c>
      <c r="Q95" s="53">
        <v>-1570.9819949746495</v>
      </c>
      <c r="R95" s="53">
        <v>-1262.1338709288759</v>
      </c>
      <c r="S95" s="53">
        <v>-5.0981249582266592</v>
      </c>
      <c r="T95" s="53">
        <v>-7086.1117926809702</v>
      </c>
      <c r="V95" s="53">
        <v>2023</v>
      </c>
      <c r="W95" s="53">
        <v>-1661.1122791825671</v>
      </c>
      <c r="X95" s="53">
        <v>-14527.91740194303</v>
      </c>
      <c r="Y95" s="53">
        <v>-33040.647449873424</v>
      </c>
      <c r="Z95" s="53">
        <v>-30556.621735573488</v>
      </c>
      <c r="AA95" s="53">
        <v>-14343.706339996594</v>
      </c>
    </row>
    <row r="96" spans="1:27" x14ac:dyDescent="0.25">
      <c r="A96" s="53">
        <v>2024</v>
      </c>
      <c r="B96" s="79">
        <v>5057.4494697306545</v>
      </c>
      <c r="C96" s="79">
        <v>2062.9073127889374</v>
      </c>
      <c r="D96" s="79">
        <v>-30.923427552382687</v>
      </c>
      <c r="E96" s="79">
        <v>25.385333066472818</v>
      </c>
      <c r="F96" s="79">
        <v>100.78124468730154</v>
      </c>
      <c r="H96" s="53">
        <v>2024</v>
      </c>
      <c r="I96" s="53">
        <v>5094.6123487619252</v>
      </c>
      <c r="J96" s="53">
        <v>3595.8822359001265</v>
      </c>
      <c r="K96" s="53">
        <v>314.88833110046238</v>
      </c>
      <c r="L96" s="53">
        <v>4.4243089134468034</v>
      </c>
      <c r="M96" s="53">
        <v>45.3075886381055</v>
      </c>
      <c r="N96" s="39"/>
      <c r="O96" s="53">
        <v>2024</v>
      </c>
      <c r="P96" s="53">
        <v>14069.91579842043</v>
      </c>
      <c r="Q96" s="53">
        <v>1897.9671185431396</v>
      </c>
      <c r="R96" s="53">
        <v>-5.6537799941146281</v>
      </c>
      <c r="S96" s="53">
        <v>-16.805150173504199</v>
      </c>
      <c r="T96" s="53">
        <v>1032.1719117310083</v>
      </c>
      <c r="V96" s="53">
        <v>2024</v>
      </c>
      <c r="W96" s="53">
        <v>-5914.0627733732317</v>
      </c>
      <c r="X96" s="53">
        <v>-1973.9013774559323</v>
      </c>
      <c r="Y96" s="53">
        <v>-5776.8463214537815</v>
      </c>
      <c r="Z96" s="53">
        <v>372.53875705330626</v>
      </c>
      <c r="AA96" s="53">
        <v>-933.06032466964348</v>
      </c>
    </row>
    <row r="97" spans="1:27" x14ac:dyDescent="0.25">
      <c r="A97" s="53">
        <v>2025</v>
      </c>
      <c r="B97" s="78">
        <v>-7948.4750912143172</v>
      </c>
      <c r="C97" s="78">
        <v>-6545.707818469371</v>
      </c>
      <c r="D97" s="78">
        <v>-2052.0546202943551</v>
      </c>
      <c r="E97" s="78">
        <v>-5.1708197513275467</v>
      </c>
      <c r="F97" s="78">
        <v>-2059.6448719315708</v>
      </c>
      <c r="H97" s="53">
        <v>2025</v>
      </c>
      <c r="I97" s="53">
        <v>7103.4261457958082</v>
      </c>
      <c r="J97" s="53">
        <v>3101.5488011193247</v>
      </c>
      <c r="K97" s="53">
        <v>293.01182333447525</v>
      </c>
      <c r="L97" s="53">
        <v>1.9833402757312654E-2</v>
      </c>
      <c r="M97" s="53">
        <v>-343.41540187884129</v>
      </c>
      <c r="N97" s="39"/>
      <c r="O97" s="53">
        <v>2025</v>
      </c>
      <c r="P97" s="53">
        <v>5007.0794236777483</v>
      </c>
      <c r="Q97" s="53">
        <v>2151.1382186978767</v>
      </c>
      <c r="R97" s="53">
        <v>164.75100913295839</v>
      </c>
      <c r="S97" s="53">
        <v>-355.62407774365596</v>
      </c>
      <c r="T97" s="53">
        <v>-661.61060769878611</v>
      </c>
      <c r="V97" s="53">
        <v>2025</v>
      </c>
      <c r="W97" s="53">
        <v>-2951.1747949024607</v>
      </c>
      <c r="X97" s="53">
        <v>11734.194423121526</v>
      </c>
      <c r="Y97" s="53">
        <v>-2153.681734516028</v>
      </c>
      <c r="Z97" s="53">
        <v>-2167.1334516057514</v>
      </c>
      <c r="AA97" s="53">
        <v>-3381.2914494829047</v>
      </c>
    </row>
    <row r="98" spans="1:27" x14ac:dyDescent="0.25">
      <c r="A98" s="53">
        <v>2026</v>
      </c>
      <c r="B98" s="79">
        <v>-3180.3735612020828</v>
      </c>
      <c r="C98" s="79">
        <v>-3405.3210013890639</v>
      </c>
      <c r="D98" s="79">
        <v>-1903.324031221302</v>
      </c>
      <c r="E98" s="79">
        <v>15.949934561402188</v>
      </c>
      <c r="F98" s="79">
        <v>-2048.1813179886085</v>
      </c>
      <c r="H98" s="53">
        <v>2026</v>
      </c>
      <c r="I98" s="53">
        <v>7219.5694909328595</v>
      </c>
      <c r="J98" s="53">
        <v>2989.4693636016455</v>
      </c>
      <c r="K98" s="53">
        <v>463.71131548153062</v>
      </c>
      <c r="L98" s="53">
        <v>4.0625857857230585</v>
      </c>
      <c r="M98" s="53">
        <v>-751.99266925739357</v>
      </c>
      <c r="N98" s="39"/>
      <c r="O98" s="53">
        <v>2026</v>
      </c>
      <c r="P98" s="53">
        <v>963.43421612656675</v>
      </c>
      <c r="Q98" s="53">
        <v>476.19903387199156</v>
      </c>
      <c r="R98" s="53">
        <v>42.730136386453523</v>
      </c>
      <c r="S98" s="53">
        <v>15.256477390743385</v>
      </c>
      <c r="T98" s="53">
        <v>-143.53208642388927</v>
      </c>
      <c r="V98" s="53">
        <v>2026</v>
      </c>
      <c r="W98" s="53">
        <v>-723.34476082841866</v>
      </c>
      <c r="X98" s="53">
        <v>525.52290950156748</v>
      </c>
      <c r="Y98" s="53">
        <v>-1022.7902034525177</v>
      </c>
      <c r="Z98" s="53">
        <v>461.48902354348684</v>
      </c>
      <c r="AA98" s="53">
        <v>-7711.8907681984128</v>
      </c>
    </row>
    <row r="99" spans="1:27" x14ac:dyDescent="0.25">
      <c r="A99" s="53">
        <v>2027</v>
      </c>
      <c r="B99" s="78">
        <v>-2033.7342523287516</v>
      </c>
      <c r="C99" s="78">
        <v>-3347.8042068954092</v>
      </c>
      <c r="D99" s="78">
        <v>510.60330606104981</v>
      </c>
      <c r="E99" s="78">
        <v>-4.00677857244591</v>
      </c>
      <c r="F99" s="78">
        <v>-1960.3278792748461</v>
      </c>
      <c r="H99" s="53">
        <v>2027</v>
      </c>
      <c r="I99" s="53">
        <v>6193.0035038786009</v>
      </c>
      <c r="J99" s="53">
        <v>1178.8466955479234</v>
      </c>
      <c r="K99" s="53">
        <v>-262.57867641704797</v>
      </c>
      <c r="L99" s="53">
        <v>-12.148197714144771</v>
      </c>
      <c r="M99" s="53">
        <v>-1084.186186892679</v>
      </c>
      <c r="N99" s="39"/>
      <c r="O99" s="53">
        <v>2027</v>
      </c>
      <c r="P99" s="53">
        <v>963.28804718924221</v>
      </c>
      <c r="Q99" s="53">
        <v>1193.7209071506513</v>
      </c>
      <c r="R99" s="53">
        <v>216.11309356187667</v>
      </c>
      <c r="S99" s="53">
        <v>-6.9637328425087617</v>
      </c>
      <c r="T99" s="53">
        <v>-423.31235391419614</v>
      </c>
      <c r="V99" s="53">
        <v>2027</v>
      </c>
      <c r="W99" s="53">
        <v>-4701.2763584598433</v>
      </c>
      <c r="X99" s="53">
        <v>746.22047249553725</v>
      </c>
      <c r="Y99" s="53">
        <v>-1329.4476055357663</v>
      </c>
      <c r="Z99" s="53">
        <v>2004.8045173899154</v>
      </c>
      <c r="AA99" s="53">
        <v>-3167.9134393750574</v>
      </c>
    </row>
    <row r="100" spans="1:27" x14ac:dyDescent="0.25">
      <c r="A100" s="53">
        <v>2028</v>
      </c>
      <c r="B100" s="79">
        <v>-2194.4609658797272</v>
      </c>
      <c r="C100" s="79">
        <v>-4533.8130636429414</v>
      </c>
      <c r="D100" s="79">
        <v>74.568688517516421</v>
      </c>
      <c r="E100" s="79">
        <v>-6.6834655247221235</v>
      </c>
      <c r="F100" s="79">
        <v>-1977.3616525047109</v>
      </c>
      <c r="H100" s="53">
        <v>2028</v>
      </c>
      <c r="I100" s="53">
        <v>6942.0781167466193</v>
      </c>
      <c r="J100" s="53">
        <v>995.8267774397973</v>
      </c>
      <c r="K100" s="53">
        <v>-351.6952813728858</v>
      </c>
      <c r="L100" s="53">
        <v>0.38364700061356416</v>
      </c>
      <c r="M100" s="53">
        <v>-1642.7239584155614</v>
      </c>
      <c r="N100" s="39"/>
      <c r="O100" s="53">
        <v>2028</v>
      </c>
      <c r="P100" s="53">
        <v>202.40587901358958</v>
      </c>
      <c r="Q100" s="53">
        <v>1597.283041337505</v>
      </c>
      <c r="R100" s="53">
        <v>196.98534803653274</v>
      </c>
      <c r="S100" s="53">
        <v>-2.5297677093403763</v>
      </c>
      <c r="T100" s="53">
        <v>-173.49630822124891</v>
      </c>
      <c r="V100" s="53">
        <v>2028</v>
      </c>
      <c r="W100" s="53">
        <v>-7.9616228321101516</v>
      </c>
      <c r="X100" s="53">
        <v>-465.04428639030084</v>
      </c>
      <c r="Y100" s="53">
        <v>489.85017565748421</v>
      </c>
      <c r="Z100" s="53">
        <v>-619.08626117650419</v>
      </c>
      <c r="AA100" s="53">
        <v>-4503.3037396623986</v>
      </c>
    </row>
    <row r="101" spans="1:27" x14ac:dyDescent="0.25">
      <c r="A101" s="53">
        <v>2029</v>
      </c>
      <c r="B101" s="78">
        <v>3766.0157345721964</v>
      </c>
      <c r="C101" s="78">
        <v>1752.8291098857298</v>
      </c>
      <c r="D101" s="78">
        <v>-194.03930934464734</v>
      </c>
      <c r="E101" s="78">
        <v>-2.8435768509734771</v>
      </c>
      <c r="F101" s="78">
        <v>-2594.4166713531595</v>
      </c>
      <c r="H101" s="53">
        <v>2029</v>
      </c>
      <c r="I101" s="53">
        <v>8982.1582922476809</v>
      </c>
      <c r="J101" s="53">
        <v>304.10275118309073</v>
      </c>
      <c r="K101" s="53">
        <v>287.73658056068234</v>
      </c>
      <c r="L101" s="53">
        <v>-2.7120690550364088</v>
      </c>
      <c r="M101" s="53">
        <v>-1818.6200486544985</v>
      </c>
      <c r="N101" s="39"/>
      <c r="O101" s="53">
        <v>2029</v>
      </c>
      <c r="P101" s="53">
        <v>3701.2725534987403</v>
      </c>
      <c r="Q101" s="53">
        <v>2158.8419669268187</v>
      </c>
      <c r="R101" s="53">
        <v>-156.92851112213248</v>
      </c>
      <c r="S101" s="53">
        <v>5.6728813241134048</v>
      </c>
      <c r="T101" s="53">
        <v>589.04438553802902</v>
      </c>
      <c r="V101" s="53">
        <v>2029</v>
      </c>
      <c r="W101" s="53">
        <v>9721.4401970235631</v>
      </c>
      <c r="X101" s="53">
        <v>2602.5949885665905</v>
      </c>
      <c r="Y101" s="53">
        <v>7235.5222495528869</v>
      </c>
      <c r="Z101" s="53">
        <v>7480.0890508424491</v>
      </c>
      <c r="AA101" s="53">
        <v>7436.5573527072556</v>
      </c>
    </row>
    <row r="102" spans="1:27" x14ac:dyDescent="0.25">
      <c r="A102" s="53">
        <v>2030</v>
      </c>
      <c r="B102" s="79">
        <v>6619.0637355258223</v>
      </c>
      <c r="C102" s="79">
        <v>1201.1775640237611</v>
      </c>
      <c r="D102" s="79">
        <v>-633.48471531090036</v>
      </c>
      <c r="E102" s="79">
        <v>-10.385160832389374</v>
      </c>
      <c r="F102" s="79">
        <v>-897.86066421837313</v>
      </c>
      <c r="H102" s="53">
        <v>2030</v>
      </c>
      <c r="I102" s="53">
        <v>7009.6815812150016</v>
      </c>
      <c r="J102" s="53">
        <v>1679.8715645531192</v>
      </c>
      <c r="K102" s="53">
        <v>-6.2203388534544501</v>
      </c>
      <c r="L102" s="53">
        <v>-0.11424942713347264</v>
      </c>
      <c r="M102" s="53">
        <v>-631.86711204604944</v>
      </c>
      <c r="N102" s="39"/>
      <c r="O102" s="53">
        <v>2030</v>
      </c>
      <c r="P102" s="53">
        <v>3725.1749438222032</v>
      </c>
      <c r="Q102" s="53">
        <v>1266.8356026365655</v>
      </c>
      <c r="R102" s="53">
        <v>68.902891602057935</v>
      </c>
      <c r="S102" s="53">
        <v>12.149680347603862</v>
      </c>
      <c r="T102" s="53">
        <v>520.94711751153227</v>
      </c>
      <c r="V102" s="53">
        <v>2030</v>
      </c>
      <c r="W102" s="53">
        <v>19376.229320241138</v>
      </c>
      <c r="X102" s="53">
        <v>2980.6395852279384</v>
      </c>
      <c r="Y102" s="53">
        <v>3825.6384155419073</v>
      </c>
      <c r="Z102" s="53">
        <v>5565.8430841700174</v>
      </c>
      <c r="AA102" s="53">
        <v>-1410.7617601164384</v>
      </c>
    </row>
    <row r="103" spans="1:27" x14ac:dyDescent="0.25">
      <c r="A103" s="53">
        <v>2031</v>
      </c>
      <c r="B103" s="78">
        <v>7393.8593828855082</v>
      </c>
      <c r="C103" s="78">
        <v>2593.7198864426464</v>
      </c>
      <c r="D103" s="78">
        <v>193.3127105418971</v>
      </c>
      <c r="E103" s="78">
        <v>16.966321755084209</v>
      </c>
      <c r="F103" s="78">
        <v>-935.24762321246089</v>
      </c>
      <c r="H103" s="53">
        <v>2031</v>
      </c>
      <c r="I103" s="53">
        <v>9618.9857174404897</v>
      </c>
      <c r="J103" s="53">
        <v>1997.5470045483671</v>
      </c>
      <c r="K103" s="53">
        <v>691.10326511747553</v>
      </c>
      <c r="L103" s="53">
        <v>-7.3325463701112312</v>
      </c>
      <c r="M103" s="53">
        <v>-1645.6790338954888</v>
      </c>
      <c r="N103" s="39"/>
      <c r="O103" s="53">
        <v>2031</v>
      </c>
      <c r="P103" s="53">
        <v>3344.4950126132462</v>
      </c>
      <c r="Q103" s="53">
        <v>2582.3823060353752</v>
      </c>
      <c r="R103" s="53">
        <v>336.38905591345247</v>
      </c>
      <c r="S103" s="53">
        <v>16.846890891938529</v>
      </c>
      <c r="T103" s="53">
        <v>563.19397968292469</v>
      </c>
      <c r="V103" s="53">
        <v>2031</v>
      </c>
      <c r="W103" s="53">
        <v>3896.6606894116849</v>
      </c>
      <c r="X103" s="53">
        <v>5054.6668717605062</v>
      </c>
      <c r="Y103" s="53">
        <v>581.71312981814845</v>
      </c>
      <c r="Z103" s="53">
        <v>3436.9427609110426</v>
      </c>
      <c r="AA103" s="53">
        <v>-2836.5785550259752</v>
      </c>
    </row>
    <row r="104" spans="1:27" x14ac:dyDescent="0.25">
      <c r="A104" s="53">
        <v>2032</v>
      </c>
      <c r="B104" s="79">
        <v>7574.9376887921244</v>
      </c>
      <c r="C104" s="79">
        <v>5900.6811559186317</v>
      </c>
      <c r="D104" s="79">
        <v>898.06035492770025</v>
      </c>
      <c r="E104" s="79">
        <v>-3.2883284899144201</v>
      </c>
      <c r="F104" s="79">
        <v>-3158.1561089841416</v>
      </c>
      <c r="H104" s="53">
        <v>2032</v>
      </c>
      <c r="I104" s="53">
        <v>9344.225749328034</v>
      </c>
      <c r="J104" s="53">
        <v>1095.438778516138</v>
      </c>
      <c r="K104" s="53">
        <v>269.67852889130882</v>
      </c>
      <c r="L104" s="53">
        <v>-0.44608456246351125</v>
      </c>
      <c r="M104" s="53">
        <v>-3577.6906818368589</v>
      </c>
      <c r="N104" s="39"/>
      <c r="O104" s="53">
        <v>2032</v>
      </c>
      <c r="P104" s="53">
        <v>1875.4733169700485</v>
      </c>
      <c r="Q104" s="53">
        <v>1616.0978988984134</v>
      </c>
      <c r="R104" s="53">
        <v>550.232922483945</v>
      </c>
      <c r="S104" s="53">
        <v>18.395389225501276</v>
      </c>
      <c r="T104" s="53">
        <v>488.62775071710348</v>
      </c>
      <c r="V104" s="53">
        <v>2032</v>
      </c>
      <c r="W104" s="53">
        <v>14697.232230385765</v>
      </c>
      <c r="X104" s="53">
        <v>5044.5403764310759</v>
      </c>
      <c r="Y104" s="53">
        <v>3545.1249607179197</v>
      </c>
      <c r="Z104" s="53">
        <v>6261.5759224288049</v>
      </c>
      <c r="AA104" s="53">
        <v>1456.9406776418909</v>
      </c>
    </row>
    <row r="105" spans="1:27" x14ac:dyDescent="0.25">
      <c r="A105" s="53" t="s">
        <v>45</v>
      </c>
      <c r="B105" s="78">
        <f>AVERAGE(B102:B104)</f>
        <v>7195.9536024011513</v>
      </c>
      <c r="C105" s="78">
        <f>AVERAGE(C102:C104)</f>
        <v>3231.8595354616796</v>
      </c>
      <c r="D105" s="78">
        <f>AVERAGE(D102:D104)</f>
        <v>152.62945005289899</v>
      </c>
      <c r="E105" s="78">
        <f>AVERAGE(E102:E104)</f>
        <v>1.097610810926805</v>
      </c>
      <c r="F105" s="78">
        <f>AVERAGE(F102:F104)</f>
        <v>-1663.7547988049919</v>
      </c>
      <c r="H105" s="53" t="s">
        <v>45</v>
      </c>
      <c r="I105" s="46">
        <f>AVERAGE(I102:I104)</f>
        <v>8657.6310159945078</v>
      </c>
      <c r="J105" s="46">
        <f>AVERAGE(J102:J104)</f>
        <v>1590.9524492058747</v>
      </c>
      <c r="K105" s="46">
        <f>AVERAGE(K102:K104)</f>
        <v>318.18715171844332</v>
      </c>
      <c r="L105" s="46">
        <f>AVERAGE(L102:L104)</f>
        <v>-2.6309601199027384</v>
      </c>
      <c r="M105" s="46">
        <f>AVERAGE(M102:M104)</f>
        <v>-1951.7456092594657</v>
      </c>
      <c r="N105" s="39"/>
      <c r="O105" s="53" t="s">
        <v>45</v>
      </c>
      <c r="P105" s="46">
        <f>AVERAGE(P102:P104)</f>
        <v>2981.7144244684991</v>
      </c>
      <c r="Q105" s="46">
        <f>AVERAGE(Q102:Q104)</f>
        <v>1821.7719358567847</v>
      </c>
      <c r="R105" s="46">
        <f>AVERAGE(R102:R104)</f>
        <v>318.50828999981849</v>
      </c>
      <c r="S105" s="46">
        <f>AVERAGE(S102:S104)</f>
        <v>15.797320155014555</v>
      </c>
      <c r="T105" s="46">
        <f>AVERAGE(T102:T104)</f>
        <v>524.25628263718681</v>
      </c>
      <c r="V105" s="53" t="s">
        <v>45</v>
      </c>
      <c r="W105" s="46">
        <f>AVERAGE(W102:W104)</f>
        <v>12656.707413346196</v>
      </c>
      <c r="X105" s="46">
        <f>AVERAGE(X102:X104)</f>
        <v>4359.9489444731735</v>
      </c>
      <c r="Y105" s="46">
        <f>AVERAGE(Y102:Y104)</f>
        <v>2650.8255020259917</v>
      </c>
      <c r="Z105" s="46">
        <f>AVERAGE(Z102:Z104)</f>
        <v>5088.1205891699547</v>
      </c>
      <c r="AA105" s="46">
        <f>AVERAGE(AA102:AA104)</f>
        <v>-930.13321250017418</v>
      </c>
    </row>
    <row r="107" spans="1:27" s="82" customFormat="1" x14ac:dyDescent="0.25">
      <c r="A107" s="62" t="s">
        <v>72</v>
      </c>
    </row>
    <row r="108" spans="1:27" s="82" customFormat="1" x14ac:dyDescent="0.25">
      <c r="A108" s="46" t="s">
        <v>9</v>
      </c>
      <c r="B108" s="46"/>
      <c r="C108" s="46"/>
      <c r="D108" s="46"/>
      <c r="E108" s="46"/>
      <c r="F108" s="53"/>
      <c r="H108" s="46" t="s">
        <v>89</v>
      </c>
      <c r="I108" s="46"/>
      <c r="J108" s="46"/>
      <c r="K108" s="46"/>
      <c r="L108" s="46"/>
      <c r="M108" s="53"/>
      <c r="N108" s="65"/>
      <c r="O108" s="46" t="s">
        <v>20</v>
      </c>
      <c r="P108" s="46"/>
      <c r="Q108" s="46"/>
      <c r="R108" s="46"/>
      <c r="S108" s="46"/>
      <c r="T108" s="53"/>
      <c r="V108" s="46" t="s">
        <v>21</v>
      </c>
      <c r="W108" s="46"/>
      <c r="X108" s="46"/>
      <c r="Y108" s="46"/>
      <c r="Z108" s="46"/>
      <c r="AA108" s="53"/>
    </row>
    <row r="109" spans="1:27" s="82" customFormat="1" x14ac:dyDescent="0.25">
      <c r="A109" s="53" t="s">
        <v>1</v>
      </c>
      <c r="B109" s="46" t="s">
        <v>2</v>
      </c>
      <c r="C109" s="46" t="s">
        <v>22</v>
      </c>
      <c r="D109" s="46" t="s">
        <v>3</v>
      </c>
      <c r="E109" s="46" t="s">
        <v>23</v>
      </c>
      <c r="F109" s="46" t="s">
        <v>24</v>
      </c>
      <c r="H109" s="53" t="s">
        <v>1</v>
      </c>
      <c r="I109" s="46" t="s">
        <v>2</v>
      </c>
      <c r="J109" s="46" t="s">
        <v>22</v>
      </c>
      <c r="K109" s="46" t="s">
        <v>3</v>
      </c>
      <c r="L109" s="46" t="s">
        <v>23</v>
      </c>
      <c r="M109" s="46" t="s">
        <v>24</v>
      </c>
      <c r="N109" s="39"/>
      <c r="O109" s="53" t="s">
        <v>1</v>
      </c>
      <c r="P109" s="46" t="s">
        <v>2</v>
      </c>
      <c r="Q109" s="46" t="s">
        <v>22</v>
      </c>
      <c r="R109" s="46" t="s">
        <v>3</v>
      </c>
      <c r="S109" s="46" t="s">
        <v>23</v>
      </c>
      <c r="T109" s="46" t="s">
        <v>24</v>
      </c>
      <c r="V109" s="53" t="s">
        <v>1</v>
      </c>
      <c r="W109" s="46" t="s">
        <v>2</v>
      </c>
      <c r="X109" s="46" t="s">
        <v>22</v>
      </c>
      <c r="Y109" s="46" t="s">
        <v>3</v>
      </c>
      <c r="Z109" s="46" t="s">
        <v>23</v>
      </c>
      <c r="AA109" s="46" t="s">
        <v>24</v>
      </c>
    </row>
    <row r="110" spans="1:27" s="82" customFormat="1" x14ac:dyDescent="0.25">
      <c r="A110" s="53">
        <v>2020</v>
      </c>
      <c r="B110" s="78">
        <v>1119.6908841859549</v>
      </c>
      <c r="C110" s="78">
        <v>352.35947636188939</v>
      </c>
      <c r="D110" s="78">
        <v>1348.4820621891413</v>
      </c>
      <c r="E110" s="78">
        <v>-0.2777250303333858</v>
      </c>
      <c r="F110" s="78">
        <v>159.64168646477628</v>
      </c>
      <c r="H110" s="53">
        <v>2020</v>
      </c>
      <c r="I110" s="78">
        <v>1275.7152549205348</v>
      </c>
      <c r="J110" s="78">
        <v>320.05663400120102</v>
      </c>
      <c r="K110" s="78">
        <v>1149.6347135884571</v>
      </c>
      <c r="L110" s="78">
        <v>-0.75570172623702092</v>
      </c>
      <c r="M110" s="78">
        <v>142.88983100175392</v>
      </c>
      <c r="N110" s="39"/>
      <c r="O110" s="53">
        <v>2020</v>
      </c>
      <c r="P110" s="78">
        <v>-318.94110313523561</v>
      </c>
      <c r="Q110" s="78">
        <v>426.32644715590868</v>
      </c>
      <c r="R110" s="78">
        <v>40.249793474096805</v>
      </c>
      <c r="S110" s="78">
        <v>1.4279379855943262</v>
      </c>
      <c r="T110" s="78">
        <v>25.170960463641677</v>
      </c>
      <c r="V110" s="53">
        <v>2020</v>
      </c>
      <c r="W110" s="78">
        <v>0</v>
      </c>
      <c r="X110" s="78">
        <v>0</v>
      </c>
      <c r="Y110" s="78">
        <v>0</v>
      </c>
      <c r="Z110" s="78">
        <v>0</v>
      </c>
      <c r="AA110" s="78">
        <v>0</v>
      </c>
    </row>
    <row r="111" spans="1:27" s="82" customFormat="1" x14ac:dyDescent="0.25">
      <c r="A111" s="53">
        <v>2021</v>
      </c>
      <c r="B111" s="78">
        <v>-4697.9118567632977</v>
      </c>
      <c r="C111" s="78">
        <v>-2413.4491809026804</v>
      </c>
      <c r="D111" s="78">
        <v>307.18736780242762</v>
      </c>
      <c r="E111" s="78">
        <v>-0.63865446158888517</v>
      </c>
      <c r="F111" s="78">
        <v>-580.59811187116429</v>
      </c>
      <c r="H111" s="53">
        <v>2021</v>
      </c>
      <c r="I111" s="78">
        <v>-4607.5958821401</v>
      </c>
      <c r="J111" s="78">
        <v>-2286.419331653975</v>
      </c>
      <c r="K111" s="78">
        <v>208.08911336550955</v>
      </c>
      <c r="L111" s="78">
        <v>-1.1729453673833632</v>
      </c>
      <c r="M111" s="78">
        <v>-585.12435606238432</v>
      </c>
      <c r="N111" s="65"/>
      <c r="O111" s="53">
        <v>2021</v>
      </c>
      <c r="P111" s="78">
        <v>-4457.8370028800564</v>
      </c>
      <c r="Q111" s="78">
        <v>-1645.5187297061784</v>
      </c>
      <c r="R111" s="78">
        <v>-234.28000356646953</v>
      </c>
      <c r="S111" s="78">
        <v>-1.1960972944507375</v>
      </c>
      <c r="T111" s="78">
        <v>-864.49860857770545</v>
      </c>
      <c r="V111" s="53">
        <v>2021</v>
      </c>
      <c r="W111" s="78">
        <v>-5788.4898972371593</v>
      </c>
      <c r="X111" s="78">
        <v>-2572.5425907250028</v>
      </c>
      <c r="Y111" s="78">
        <v>-1197.8682017527753</v>
      </c>
      <c r="Z111" s="78">
        <v>-62.92078377501457</v>
      </c>
      <c r="AA111" s="78">
        <v>-1131.4629547726945</v>
      </c>
    </row>
    <row r="112" spans="1:27" s="82" customFormat="1" x14ac:dyDescent="0.25">
      <c r="A112" s="53">
        <v>2022</v>
      </c>
      <c r="B112" s="79">
        <v>-7896.7159959292039</v>
      </c>
      <c r="C112" s="79">
        <v>-4445.5422454096843</v>
      </c>
      <c r="D112" s="79">
        <v>-1825.4309742984478</v>
      </c>
      <c r="E112" s="79">
        <v>2.5681636909794179</v>
      </c>
      <c r="F112" s="79">
        <v>-1313.8005967481877</v>
      </c>
      <c r="H112" s="53">
        <v>2022</v>
      </c>
      <c r="I112" s="79">
        <v>-8467.0514773093164</v>
      </c>
      <c r="J112" s="79">
        <v>-3912.7922241205815</v>
      </c>
      <c r="K112" s="79">
        <v>-1899.6191466274322</v>
      </c>
      <c r="L112" s="79">
        <v>1.664332612133876</v>
      </c>
      <c r="M112" s="79">
        <v>-1046.7711190784466</v>
      </c>
      <c r="N112" s="39"/>
      <c r="O112" s="53">
        <v>2022</v>
      </c>
      <c r="P112" s="79">
        <v>-6553.0836657537147</v>
      </c>
      <c r="Q112" s="79">
        <v>-2810.583791236626</v>
      </c>
      <c r="R112" s="79">
        <v>-646.77779406728223</v>
      </c>
      <c r="S112" s="79">
        <v>-7.7215425195172429</v>
      </c>
      <c r="T112" s="79">
        <v>-904.16060620342614</v>
      </c>
      <c r="V112" s="53">
        <v>2022</v>
      </c>
      <c r="W112" s="79">
        <v>-12185.584521569312</v>
      </c>
      <c r="X112" s="79">
        <v>-4362.9831467589829</v>
      </c>
      <c r="Y112" s="79">
        <v>-16095.741557064583</v>
      </c>
      <c r="Z112" s="79">
        <v>483.21097273478517</v>
      </c>
      <c r="AA112" s="79">
        <v>-2709.826624784735</v>
      </c>
    </row>
    <row r="113" spans="1:27" s="82" customFormat="1" x14ac:dyDescent="0.25">
      <c r="A113" s="53">
        <v>2023</v>
      </c>
      <c r="B113" s="78">
        <v>-20964.644644758664</v>
      </c>
      <c r="C113" s="78">
        <v>-18616.352109398926</v>
      </c>
      <c r="D113" s="78">
        <v>-5989.7505685379729</v>
      </c>
      <c r="E113" s="78">
        <v>3.5488046067912364</v>
      </c>
      <c r="F113" s="78">
        <v>-7731.9219488854869</v>
      </c>
      <c r="H113" s="53">
        <v>2023</v>
      </c>
      <c r="I113" s="78">
        <v>-20062.638692880981</v>
      </c>
      <c r="J113" s="78">
        <v>-17454.836598847294</v>
      </c>
      <c r="K113" s="78">
        <v>-5874.9841378791607</v>
      </c>
      <c r="L113" s="78">
        <v>2.7744792092707939</v>
      </c>
      <c r="M113" s="78">
        <v>-7513.7950233272859</v>
      </c>
      <c r="N113" s="39"/>
      <c r="O113" s="53">
        <v>2023</v>
      </c>
      <c r="P113" s="78">
        <v>1684.3983866994968</v>
      </c>
      <c r="Q113" s="78">
        <v>-1938.9489785883343</v>
      </c>
      <c r="R113" s="78">
        <v>-594.84540061006555</v>
      </c>
      <c r="S113" s="78">
        <v>-19.742575557334931</v>
      </c>
      <c r="T113" s="78">
        <v>-8875.1248544338159</v>
      </c>
      <c r="V113" s="53">
        <v>2023</v>
      </c>
      <c r="W113" s="78">
        <v>-32337.464816064807</v>
      </c>
      <c r="X113" s="78">
        <v>-19411.871941864258</v>
      </c>
      <c r="Y113" s="78">
        <v>-36177.229791353922</v>
      </c>
      <c r="Z113" s="78">
        <v>-27965.738559194971</v>
      </c>
      <c r="AA113" s="78">
        <v>-15139.90851642983</v>
      </c>
    </row>
    <row r="114" spans="1:27" s="82" customFormat="1" x14ac:dyDescent="0.25">
      <c r="A114" s="53">
        <v>2024</v>
      </c>
      <c r="B114" s="79">
        <v>2765.4365416539367</v>
      </c>
      <c r="C114" s="79">
        <v>-36.192166287684813</v>
      </c>
      <c r="D114" s="79">
        <v>-63.906977849022951</v>
      </c>
      <c r="E114" s="79">
        <v>7.8137492106834543</v>
      </c>
      <c r="F114" s="79">
        <v>-3254.2244113396737</v>
      </c>
      <c r="H114" s="53">
        <v>2024</v>
      </c>
      <c r="I114" s="79">
        <v>3061.339931090828</v>
      </c>
      <c r="J114" s="79">
        <v>1499.1748166121542</v>
      </c>
      <c r="K114" s="79">
        <v>50.197642636718228</v>
      </c>
      <c r="L114" s="79">
        <v>8.3697011197145912</v>
      </c>
      <c r="M114" s="79">
        <v>-3354.6419558509369</v>
      </c>
      <c r="N114" s="39"/>
      <c r="O114" s="53">
        <v>2024</v>
      </c>
      <c r="P114" s="79">
        <v>13694.988511042669</v>
      </c>
      <c r="Q114" s="79">
        <v>2498.0234247362241</v>
      </c>
      <c r="R114" s="79">
        <v>191.61040986515582</v>
      </c>
      <c r="S114" s="79">
        <v>-28.824300689688243</v>
      </c>
      <c r="T114" s="79">
        <v>-2251.4491401970154</v>
      </c>
      <c r="V114" s="53">
        <v>2024</v>
      </c>
      <c r="W114" s="79">
        <v>-8227.016934000887</v>
      </c>
      <c r="X114" s="79">
        <v>-6492.2665306343697</v>
      </c>
      <c r="Y114" s="79">
        <v>-8852.4764111700351</v>
      </c>
      <c r="Z114" s="79">
        <v>266.39301456422982</v>
      </c>
      <c r="AA114" s="79">
        <v>-4118.112689198344</v>
      </c>
    </row>
    <row r="115" spans="1:27" s="82" customFormat="1" x14ac:dyDescent="0.25">
      <c r="A115" s="53">
        <v>2025</v>
      </c>
      <c r="B115" s="78">
        <v>-11451.401142819552</v>
      </c>
      <c r="C115" s="78">
        <v>-8311.2832786594518</v>
      </c>
      <c r="D115" s="78">
        <v>-2586.6474576870169</v>
      </c>
      <c r="E115" s="78">
        <v>-5.1208449142068275</v>
      </c>
      <c r="F115" s="78">
        <v>-4255.4579075208167</v>
      </c>
      <c r="H115" s="53">
        <v>2025</v>
      </c>
      <c r="I115" s="78">
        <v>3668.2778429971077</v>
      </c>
      <c r="J115" s="78">
        <v>1539.4881711751223</v>
      </c>
      <c r="K115" s="78">
        <v>-13.470084726948699</v>
      </c>
      <c r="L115" s="78">
        <v>-8.353309852827806E-2</v>
      </c>
      <c r="M115" s="78">
        <v>-2595.8024680690723</v>
      </c>
      <c r="N115" s="39"/>
      <c r="O115" s="53">
        <v>2025</v>
      </c>
      <c r="P115" s="78">
        <v>5336.5523361589294</v>
      </c>
      <c r="Q115" s="78">
        <v>1382.9834649784025</v>
      </c>
      <c r="R115" s="78">
        <v>159.92877446006787</v>
      </c>
      <c r="S115" s="78">
        <v>-41.544617867570196</v>
      </c>
      <c r="T115" s="78">
        <v>-2780.1829549538088</v>
      </c>
      <c r="V115" s="53">
        <v>2025</v>
      </c>
      <c r="W115" s="78">
        <v>-10749.885916376952</v>
      </c>
      <c r="X115" s="78">
        <v>-3746.1940864059143</v>
      </c>
      <c r="Y115" s="78">
        <v>-3728.6429050901788</v>
      </c>
      <c r="Z115" s="78">
        <v>-4469.0950245147833</v>
      </c>
      <c r="AA115" s="78">
        <v>-6626.6325180126005</v>
      </c>
    </row>
  </sheetData>
  <scenarios current="0">
    <scenario name="Neutral" locked="1" count="1" user="Kiet Lee" comment="Created by Kiet Lee on 10/10/2017">
      <inputCells r="B2" val="5" numFmtId="9"/>
    </scenario>
  </scenarios>
  <mergeCells count="12">
    <mergeCell ref="A74:A87"/>
    <mergeCell ref="H74:H87"/>
    <mergeCell ref="V74:V87"/>
    <mergeCell ref="O74:O87"/>
    <mergeCell ref="A31:A44"/>
    <mergeCell ref="H31:H44"/>
    <mergeCell ref="O31:O44"/>
    <mergeCell ref="V31:V44"/>
    <mergeCell ref="A49:A69"/>
    <mergeCell ref="H49:H69"/>
    <mergeCell ref="O49:O69"/>
    <mergeCell ref="V49:V69"/>
  </mergeCells>
  <conditionalFormatting sqref="D16:K22">
    <cfRule type="cellIs" dxfId="6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8E8D2-D43A-48C6-A97E-83FB05239AC4}">
  <sheetPr codeName="Sheet10"/>
  <dimension ref="A1:AA116"/>
  <sheetViews>
    <sheetView zoomScale="70" zoomScaleNormal="70" workbookViewId="0"/>
  </sheetViews>
  <sheetFormatPr defaultColWidth="14.7109375" defaultRowHeight="15" x14ac:dyDescent="0.25"/>
  <cols>
    <col min="1" max="2" width="14.7109375" style="82"/>
    <col min="3" max="3" width="14.85546875" style="82" customWidth="1"/>
    <col min="4" max="4" width="14.7109375" style="82"/>
    <col min="5" max="5" width="15.7109375" style="82" customWidth="1"/>
    <col min="6" max="16384" width="14.7109375" style="82"/>
  </cols>
  <sheetData>
    <row r="1" spans="1:22" s="65" customFormat="1" x14ac:dyDescent="0.25">
      <c r="A1" s="9" t="s">
        <v>12</v>
      </c>
      <c r="C1" s="9" t="s">
        <v>14</v>
      </c>
    </row>
    <row r="2" spans="1:22" x14ac:dyDescent="0.25">
      <c r="A2" s="13" t="s">
        <v>8</v>
      </c>
      <c r="B2" s="85">
        <v>0.06</v>
      </c>
      <c r="C2" s="20">
        <f>Discount_rate</f>
        <v>0.06</v>
      </c>
    </row>
    <row r="3" spans="1:22" x14ac:dyDescent="0.25">
      <c r="A3" s="31" t="s">
        <v>13</v>
      </c>
      <c r="B3" s="24">
        <v>443016.61</v>
      </c>
      <c r="C3" s="32">
        <f>Option_C1_Cost+Snowylink1_Cost</f>
        <v>443016.60597827256</v>
      </c>
    </row>
    <row r="4" spans="1:22" x14ac:dyDescent="0.25">
      <c r="A4" s="31" t="s">
        <v>34</v>
      </c>
      <c r="B4" s="15">
        <v>30</v>
      </c>
      <c r="C4" s="19">
        <f>Network_payment_duration_years</f>
        <v>30</v>
      </c>
    </row>
    <row r="5" spans="1:22" x14ac:dyDescent="0.25">
      <c r="A5" s="11"/>
      <c r="B5" s="25"/>
      <c r="D5" s="65"/>
      <c r="E5" s="65"/>
    </row>
    <row r="6" spans="1:22" x14ac:dyDescent="0.25">
      <c r="A6" s="30" t="s">
        <v>15</v>
      </c>
      <c r="B6" s="31" t="s">
        <v>9</v>
      </c>
      <c r="C6" s="10" t="s">
        <v>89</v>
      </c>
      <c r="D6" s="10" t="s">
        <v>20</v>
      </c>
      <c r="E6" s="10" t="s">
        <v>21</v>
      </c>
    </row>
    <row r="7" spans="1:22" x14ac:dyDescent="0.25">
      <c r="A7" s="30" t="s">
        <v>7</v>
      </c>
      <c r="B7" s="24">
        <f>E25</f>
        <v>65281.214941287821</v>
      </c>
      <c r="C7" s="24">
        <f>L25</f>
        <v>18729.184000969573</v>
      </c>
      <c r="D7" s="24">
        <f>S25</f>
        <v>38333.416135982785</v>
      </c>
      <c r="E7" s="24">
        <f>Z25</f>
        <v>134663.92911519407</v>
      </c>
      <c r="G7" s="29"/>
      <c r="H7" s="29"/>
      <c r="I7" s="29"/>
      <c r="J7" s="29"/>
      <c r="K7" s="29"/>
      <c r="L7" s="29"/>
      <c r="M7" s="29"/>
      <c r="N7" s="29"/>
      <c r="O7" s="29"/>
      <c r="P7" s="29"/>
      <c r="T7" s="29"/>
      <c r="U7" s="29"/>
      <c r="V7" s="29"/>
    </row>
    <row r="8" spans="1:22" x14ac:dyDescent="0.25">
      <c r="A8" s="11"/>
      <c r="B8" s="25"/>
      <c r="D8" s="65"/>
      <c r="E8" s="65"/>
      <c r="G8" s="29"/>
      <c r="H8" s="29"/>
      <c r="I8" s="29"/>
      <c r="J8" s="29"/>
      <c r="K8" s="29"/>
      <c r="L8" s="29"/>
      <c r="M8" s="29"/>
      <c r="N8" s="29"/>
      <c r="O8" s="29"/>
      <c r="P8" s="29"/>
      <c r="T8" s="29"/>
      <c r="U8" s="29"/>
      <c r="V8" s="29"/>
    </row>
    <row r="9" spans="1:22" s="65" customFormat="1" x14ac:dyDescent="0.25">
      <c r="A9" s="30" t="str">
        <f>Assumptions!A20</f>
        <v>Scenario weightings</v>
      </c>
      <c r="B9" s="5" t="str">
        <f>Assumptions!B20</f>
        <v>Neutral</v>
      </c>
      <c r="C9" s="5" t="str">
        <f>Assumptions!C20</f>
        <v>NeutralWS</v>
      </c>
      <c r="D9" s="5" t="str">
        <f>Assumptions!D20</f>
        <v>Slow Change</v>
      </c>
      <c r="E9" s="5" t="str">
        <f>Assumptions!E20</f>
        <v>Fast Change</v>
      </c>
      <c r="F9" s="5" t="str">
        <f>Assumptions!F20</f>
        <v>Total</v>
      </c>
    </row>
    <row r="10" spans="1:22" s="65" customFormat="1" x14ac:dyDescent="0.25">
      <c r="A10" s="31" t="str">
        <f>Assumptions!A21</f>
        <v>Set A - all equal</v>
      </c>
      <c r="B10" s="7">
        <f>Assumptions!B21</f>
        <v>0.25</v>
      </c>
      <c r="C10" s="7">
        <f>Assumptions!C21</f>
        <v>0.25</v>
      </c>
      <c r="D10" s="7">
        <f>Assumptions!D21</f>
        <v>0.25</v>
      </c>
      <c r="E10" s="7">
        <f>Assumptions!E21</f>
        <v>0.25</v>
      </c>
      <c r="F10" s="7">
        <f>Assumptions!F21</f>
        <v>1</v>
      </c>
    </row>
    <row r="11" spans="1:22" s="65" customFormat="1" x14ac:dyDescent="0.25">
      <c r="A11" s="31" t="str">
        <f>Assumptions!A22</f>
        <v>Set B - more Neutral</v>
      </c>
      <c r="B11" s="7">
        <f>Assumptions!B22</f>
        <v>0.4</v>
      </c>
      <c r="C11" s="7">
        <f>Assumptions!C22</f>
        <v>0.4</v>
      </c>
      <c r="D11" s="7">
        <f>Assumptions!D22</f>
        <v>0.1</v>
      </c>
      <c r="E11" s="7">
        <f>Assumptions!E22</f>
        <v>0.1</v>
      </c>
      <c r="F11" s="7">
        <f>Assumptions!F22</f>
        <v>1</v>
      </c>
    </row>
    <row r="12" spans="1:22" s="65" customFormat="1" x14ac:dyDescent="0.25">
      <c r="A12" s="31" t="str">
        <f>Assumptions!A23</f>
        <v>Set C - Slow Change</v>
      </c>
      <c r="B12" s="7">
        <f>Assumptions!B23</f>
        <v>0.2</v>
      </c>
      <c r="C12" s="7">
        <f>Assumptions!C23</f>
        <v>0.2</v>
      </c>
      <c r="D12" s="7">
        <f>Assumptions!D23</f>
        <v>0.4</v>
      </c>
      <c r="E12" s="7">
        <f>Assumptions!E23</f>
        <v>0.2</v>
      </c>
      <c r="F12" s="7">
        <f>Assumptions!F23</f>
        <v>1</v>
      </c>
    </row>
    <row r="13" spans="1:22" s="65" customFormat="1" x14ac:dyDescent="0.25">
      <c r="A13" s="31" t="str">
        <f>Assumptions!A24</f>
        <v>Set D - Fast Change</v>
      </c>
      <c r="B13" s="7">
        <f>Assumptions!B24</f>
        <v>0.2</v>
      </c>
      <c r="C13" s="7">
        <f>Assumptions!C24</f>
        <v>0.2</v>
      </c>
      <c r="D13" s="7">
        <f>Assumptions!D24</f>
        <v>0.2</v>
      </c>
      <c r="E13" s="7">
        <f>Assumptions!E24</f>
        <v>0.4</v>
      </c>
      <c r="F13" s="7">
        <f>Assumptions!F24</f>
        <v>1</v>
      </c>
    </row>
    <row r="14" spans="1:22" s="65" customFormat="1" x14ac:dyDescent="0.25">
      <c r="A14" s="11"/>
      <c r="B14" s="72"/>
      <c r="C14" s="72"/>
      <c r="D14" s="72"/>
      <c r="E14" s="72"/>
      <c r="F14" s="72"/>
    </row>
    <row r="15" spans="1:22" s="65" customFormat="1" x14ac:dyDescent="0.25">
      <c r="A15" s="33"/>
      <c r="B15" s="5" t="s">
        <v>35</v>
      </c>
      <c r="C15" s="33" t="str">
        <f ca="1">MID(CELL("filename",C1),FIND("]",CELL("filename",C1))+1,255)</f>
        <v>Benefits - Option C1</v>
      </c>
      <c r="D15" s="2" t="s">
        <v>9</v>
      </c>
      <c r="E15" s="2" t="s">
        <v>89</v>
      </c>
      <c r="F15" s="2" t="s">
        <v>20</v>
      </c>
      <c r="G15" s="2" t="s">
        <v>21</v>
      </c>
      <c r="H15" s="2" t="s">
        <v>17</v>
      </c>
      <c r="I15" s="92" t="s">
        <v>18</v>
      </c>
      <c r="J15" s="92" t="s">
        <v>19</v>
      </c>
      <c r="K15" s="92" t="s">
        <v>43</v>
      </c>
      <c r="L15" s="29"/>
      <c r="M15" s="29"/>
      <c r="N15" s="29"/>
      <c r="O15" s="29"/>
      <c r="P15" s="29"/>
      <c r="T15" s="29"/>
      <c r="U15" s="29"/>
      <c r="V15" s="29"/>
    </row>
    <row r="16" spans="1:22" x14ac:dyDescent="0.25">
      <c r="A16" s="22" t="s">
        <v>8</v>
      </c>
      <c r="B16" s="23">
        <f>Assumptions!B9+Discount_rate</f>
        <v>0.06</v>
      </c>
      <c r="C16" s="57" t="s">
        <v>36</v>
      </c>
      <c r="D16" s="2">
        <v>65281.21</v>
      </c>
      <c r="E16" s="2">
        <v>18729.18</v>
      </c>
      <c r="F16" s="2">
        <v>38333.42</v>
      </c>
      <c r="G16" s="2">
        <v>134663.93</v>
      </c>
      <c r="H16" s="2">
        <f>$B$10*$D16+$C$10*$E16+$D$10*$F16+$E$10*$G16</f>
        <v>64251.934999999998</v>
      </c>
      <c r="I16" s="2">
        <f>$B$11*$D16+$C$11*$E16+$D$11*$F16+$E$11*$G16</f>
        <v>50903.891000000003</v>
      </c>
      <c r="J16" s="2">
        <f>$B$12*$D16+$C$12*$E16+$D$12*$F16+$E$12*$G16</f>
        <v>59068.232000000004</v>
      </c>
      <c r="K16" s="2">
        <f>$B$13*$D16+$C$13*$E16+$D$13*$F16+$E$13*$G16</f>
        <v>78334.334000000003</v>
      </c>
      <c r="L16" s="29"/>
      <c r="M16" s="29"/>
      <c r="N16" s="29"/>
      <c r="O16" s="29"/>
      <c r="P16" s="29"/>
      <c r="T16" s="29"/>
      <c r="U16" s="29"/>
      <c r="V16" s="29"/>
    </row>
    <row r="17" spans="1:26" x14ac:dyDescent="0.25">
      <c r="A17" s="22"/>
      <c r="B17" s="23">
        <f>Assumptions!B10+Discount_rate</f>
        <v>8.4999999999999992E-2</v>
      </c>
      <c r="C17" s="22" t="str">
        <f>"Discount rate " &amp;Assumptions!B10</f>
        <v>Discount rate 0.025</v>
      </c>
      <c r="D17" s="2">
        <v>11847.39</v>
      </c>
      <c r="E17" s="2">
        <v>-26883.68</v>
      </c>
      <c r="F17" s="2">
        <v>-314.55</v>
      </c>
      <c r="G17" s="2">
        <v>30650.75</v>
      </c>
      <c r="H17" s="2">
        <f t="shared" ref="H17:H22" si="0">$B$10*$D17+$C$10*$E17+$D$10*$F17+$E$10*$G17</f>
        <v>3824.9775</v>
      </c>
      <c r="I17" s="2">
        <f t="shared" ref="I17:I22" si="1">$B$11*$D17+$C$11*$E17+$D$11*$F17+$E$11*$G17</f>
        <v>-2980.8960000000011</v>
      </c>
      <c r="J17" s="2">
        <f t="shared" ref="J17:J22" si="2">$B$12*$D17+$C$12*$E17+$D$12*$F17+$E$12*$G17</f>
        <v>2997.0719999999997</v>
      </c>
      <c r="K17" s="2">
        <f t="shared" ref="K17:K22" si="3">$B$13*$D17+$C$13*$E17+$D$13*$F17+$E$13*$G17</f>
        <v>9190.1320000000014</v>
      </c>
      <c r="L17" s="29"/>
      <c r="M17" s="29"/>
      <c r="N17" s="29"/>
      <c r="O17" s="29"/>
      <c r="P17" s="29"/>
      <c r="T17" s="29"/>
      <c r="U17" s="29"/>
      <c r="V17" s="29"/>
    </row>
    <row r="18" spans="1:26" x14ac:dyDescent="0.25">
      <c r="A18" s="22"/>
      <c r="B18" s="23">
        <f>Assumptions!B11+Discount_rate</f>
        <v>3.4999999999999996E-2</v>
      </c>
      <c r="C18" s="22" t="str">
        <f>"Discount rate " &amp;Assumptions!B11</f>
        <v>Discount rate -0.025</v>
      </c>
      <c r="D18" s="2">
        <v>166255.17000000001</v>
      </c>
      <c r="E18" s="2">
        <v>109585.95</v>
      </c>
      <c r="F18" s="2">
        <v>109490.84</v>
      </c>
      <c r="G18" s="2">
        <v>347353.39</v>
      </c>
      <c r="H18" s="2">
        <f t="shared" si="0"/>
        <v>183171.33749999999</v>
      </c>
      <c r="I18" s="2">
        <f t="shared" si="1"/>
        <v>156020.87100000001</v>
      </c>
      <c r="J18" s="2">
        <f t="shared" si="2"/>
        <v>168435.23800000001</v>
      </c>
      <c r="K18" s="2">
        <f t="shared" si="3"/>
        <v>216007.74800000002</v>
      </c>
      <c r="L18" s="29"/>
      <c r="M18" s="29"/>
      <c r="N18" s="29"/>
      <c r="O18" s="29"/>
      <c r="P18" s="29"/>
      <c r="T18" s="29"/>
      <c r="U18" s="29"/>
      <c r="V18" s="29"/>
    </row>
    <row r="19" spans="1:26" x14ac:dyDescent="0.25">
      <c r="A19" s="21" t="s">
        <v>13</v>
      </c>
      <c r="B19" s="24">
        <f>Assumptions!B13*(Option_C1_Cost+Snowylink1_Cost)</f>
        <v>575921.58777175436</v>
      </c>
      <c r="C19" s="21" t="str">
        <f>"Cost x "&amp;Assumptions!B13</f>
        <v>Cost x 1.3</v>
      </c>
      <c r="D19" s="2">
        <v>-12843.66</v>
      </c>
      <c r="E19" s="2">
        <v>-59395.69</v>
      </c>
      <c r="F19" s="2">
        <v>-39791.46</v>
      </c>
      <c r="G19" s="2">
        <v>56539.06</v>
      </c>
      <c r="H19" s="2">
        <f t="shared" si="0"/>
        <v>-13872.9375</v>
      </c>
      <c r="I19" s="2">
        <f t="shared" si="1"/>
        <v>-27220.98</v>
      </c>
      <c r="J19" s="2">
        <f t="shared" si="2"/>
        <v>-19056.642</v>
      </c>
      <c r="K19" s="2">
        <f t="shared" si="3"/>
        <v>209.46199999999953</v>
      </c>
      <c r="L19" s="29"/>
      <c r="M19" s="29"/>
      <c r="N19" s="29"/>
      <c r="O19" s="29"/>
      <c r="P19" s="29"/>
      <c r="T19" s="29"/>
      <c r="U19" s="29"/>
      <c r="V19" s="29"/>
    </row>
    <row r="20" spans="1:26" x14ac:dyDescent="0.25">
      <c r="A20" s="21"/>
      <c r="B20" s="24">
        <f>Assumptions!B14*(Option_C1_Cost+Snowylink1_Cost)</f>
        <v>310111.62418479077</v>
      </c>
      <c r="C20" s="21" t="str">
        <f>"Cost x "&amp;Assumptions!B14</f>
        <v>Cost x 0.7</v>
      </c>
      <c r="D20" s="2">
        <v>143406.09</v>
      </c>
      <c r="E20" s="2">
        <v>96854.06</v>
      </c>
      <c r="F20" s="2">
        <v>116458.29</v>
      </c>
      <c r="G20" s="2">
        <v>212788.81</v>
      </c>
      <c r="H20" s="2">
        <f t="shared" si="0"/>
        <v>142376.8125</v>
      </c>
      <c r="I20" s="2">
        <f t="shared" si="1"/>
        <v>129028.76999999999</v>
      </c>
      <c r="J20" s="2">
        <f t="shared" si="2"/>
        <v>137193.10800000001</v>
      </c>
      <c r="K20" s="2">
        <f t="shared" si="3"/>
        <v>156459.212</v>
      </c>
      <c r="L20" s="29"/>
      <c r="M20" s="29"/>
      <c r="N20" s="29"/>
      <c r="O20" s="29"/>
      <c r="P20" s="29"/>
      <c r="T20" s="29"/>
      <c r="U20" s="29"/>
      <c r="V20" s="29"/>
    </row>
    <row r="21" spans="1:26" x14ac:dyDescent="0.25">
      <c r="A21" s="55" t="s">
        <v>33</v>
      </c>
      <c r="B21" s="56">
        <f>Network_payment_duration_years+Assumptions!B16</f>
        <v>25</v>
      </c>
      <c r="C21" s="55" t="str">
        <f>"Payback "&amp;Assumptions!B16&amp;" years"</f>
        <v>Payback -5 years</v>
      </c>
      <c r="D21" s="2">
        <v>60249.760000000002</v>
      </c>
      <c r="E21" s="2">
        <v>13697.73</v>
      </c>
      <c r="F21" s="2">
        <v>33301.96</v>
      </c>
      <c r="G21" s="2">
        <v>129632.47</v>
      </c>
      <c r="H21" s="2">
        <f t="shared" si="0"/>
        <v>59220.480000000003</v>
      </c>
      <c r="I21" s="2">
        <f t="shared" si="1"/>
        <v>45872.439000000006</v>
      </c>
      <c r="J21" s="2">
        <f t="shared" si="2"/>
        <v>54036.775999999998</v>
      </c>
      <c r="K21" s="2">
        <f t="shared" si="3"/>
        <v>73302.877999999997</v>
      </c>
      <c r="L21" s="29"/>
      <c r="M21" s="29"/>
      <c r="N21" s="29"/>
      <c r="O21" s="29"/>
      <c r="P21" s="29"/>
      <c r="T21" s="29"/>
      <c r="U21" s="29"/>
      <c r="V21" s="29"/>
    </row>
    <row r="22" spans="1:26" x14ac:dyDescent="0.25">
      <c r="A22" s="55"/>
      <c r="B22" s="56">
        <f>Network_payment_duration_years+Assumptions!B17</f>
        <v>35</v>
      </c>
      <c r="C22" s="55" t="str">
        <f>"Payback +"&amp;Assumptions!B17&amp;" years"</f>
        <v>Payback +5 years</v>
      </c>
      <c r="D22" s="2">
        <v>68983.22</v>
      </c>
      <c r="E22" s="2">
        <v>22431.19</v>
      </c>
      <c r="F22" s="2">
        <v>42035.42</v>
      </c>
      <c r="G22" s="2">
        <v>138365.94</v>
      </c>
      <c r="H22" s="2">
        <f t="shared" si="0"/>
        <v>67953.942500000005</v>
      </c>
      <c r="I22" s="2">
        <f t="shared" si="1"/>
        <v>54605.900000000009</v>
      </c>
      <c r="J22" s="2">
        <f t="shared" si="2"/>
        <v>62770.238000000005</v>
      </c>
      <c r="K22" s="2">
        <f t="shared" si="3"/>
        <v>82036.342000000004</v>
      </c>
      <c r="L22" s="29"/>
      <c r="M22" s="29"/>
      <c r="N22" s="29"/>
      <c r="O22" s="29"/>
      <c r="P22" s="29"/>
      <c r="T22" s="29"/>
      <c r="U22" s="29"/>
      <c r="V22" s="29"/>
    </row>
    <row r="23" spans="1:26" s="65" customFormat="1" x14ac:dyDescent="0.25">
      <c r="A23" s="91"/>
      <c r="B23" s="12"/>
      <c r="C23" s="4"/>
      <c r="E23" s="4"/>
    </row>
    <row r="24" spans="1:26" x14ac:dyDescent="0.25">
      <c r="A24" s="4"/>
      <c r="C24" s="13" t="s">
        <v>4</v>
      </c>
      <c r="D24" s="13" t="s">
        <v>5</v>
      </c>
      <c r="E24" s="13" t="s">
        <v>6</v>
      </c>
      <c r="H24" s="4"/>
      <c r="J24" s="13" t="s">
        <v>4</v>
      </c>
      <c r="K24" s="13" t="s">
        <v>5</v>
      </c>
      <c r="L24" s="13" t="s">
        <v>6</v>
      </c>
      <c r="O24" s="4"/>
      <c r="Q24" s="13" t="s">
        <v>4</v>
      </c>
      <c r="R24" s="13" t="s">
        <v>5</v>
      </c>
      <c r="S24" s="13" t="s">
        <v>6</v>
      </c>
      <c r="V24" s="4"/>
      <c r="X24" s="13" t="s">
        <v>4</v>
      </c>
      <c r="Y24" s="13" t="s">
        <v>5</v>
      </c>
      <c r="Z24" s="13" t="s">
        <v>6</v>
      </c>
    </row>
    <row r="25" spans="1:26" x14ac:dyDescent="0.25">
      <c r="A25" s="25"/>
      <c r="B25" s="53" t="s">
        <v>7</v>
      </c>
      <c r="C25" s="2">
        <f>NPV($B$2,'Benefits - Option C1'!C31:C44)+C73+E47</f>
        <v>388408.02726866666</v>
      </c>
      <c r="D25" s="2">
        <f>NPV($B$2,D31:D44)+NPV($B$2,E31:E44)</f>
        <v>323126.81232737884</v>
      </c>
      <c r="E25" s="2">
        <f>C25-D25</f>
        <v>65281.214941287821</v>
      </c>
      <c r="F25" s="81"/>
      <c r="H25" s="25"/>
      <c r="I25" s="53" t="s">
        <v>7</v>
      </c>
      <c r="J25" s="2">
        <f>NPV($B$2,'Benefits - Option C1'!J31:J44)+J73+L47</f>
        <v>341855.99632834841</v>
      </c>
      <c r="K25" s="2">
        <f>NPV($B$2,K31:K44)+NPV($B$2,L31:L44)</f>
        <v>323126.81232737884</v>
      </c>
      <c r="L25" s="2">
        <f>J25-K25</f>
        <v>18729.184000969573</v>
      </c>
      <c r="O25" s="25"/>
      <c r="P25" s="53" t="s">
        <v>7</v>
      </c>
      <c r="Q25" s="2">
        <f>NPV($B$2,'Benefits - Option C1'!Q31:Q44)+Q73+S47</f>
        <v>361460.22846336162</v>
      </c>
      <c r="R25" s="2">
        <f>NPV($B$2,R31:R44)+NPV($B$2,S31:S44)</f>
        <v>323126.81232737884</v>
      </c>
      <c r="S25" s="2">
        <f>Q25-R25</f>
        <v>38333.416135982785</v>
      </c>
      <c r="V25" s="25"/>
      <c r="W25" s="53" t="s">
        <v>7</v>
      </c>
      <c r="X25" s="2">
        <f>NPV($B$2,'Benefits - Option C1'!X31:X44)+X73+Z47</f>
        <v>457790.74144257291</v>
      </c>
      <c r="Y25" s="2">
        <f>NPV($B$2,Y31:Y44)+NPV($B$2,Z31:Z44)</f>
        <v>323126.81232737884</v>
      </c>
      <c r="Z25" s="2">
        <f>X25-Y25</f>
        <v>134663.92911519407</v>
      </c>
    </row>
    <row r="26" spans="1:26" s="37" customFormat="1" ht="15.75" thickBot="1" x14ac:dyDescent="0.3">
      <c r="A26" s="36"/>
      <c r="C26" s="36"/>
      <c r="D26" s="36"/>
      <c r="E26" s="36"/>
      <c r="H26" s="36"/>
      <c r="J26" s="36"/>
      <c r="K26" s="36"/>
      <c r="L26" s="36"/>
      <c r="O26" s="36"/>
      <c r="Q26" s="36"/>
      <c r="R26" s="36"/>
      <c r="S26" s="36"/>
      <c r="V26" s="36"/>
      <c r="X26" s="36"/>
      <c r="Y26" s="36"/>
      <c r="Z26" s="36"/>
    </row>
    <row r="27" spans="1:26" s="65" customFormat="1" x14ac:dyDescent="0.25">
      <c r="A27" s="4"/>
      <c r="C27" s="4"/>
      <c r="D27" s="4"/>
      <c r="E27" s="4"/>
      <c r="H27" s="4"/>
      <c r="J27" s="4"/>
      <c r="K27" s="4"/>
      <c r="L27" s="4"/>
      <c r="O27" s="4"/>
      <c r="Q27" s="4"/>
      <c r="R27" s="4"/>
      <c r="S27" s="4"/>
      <c r="V27" s="4"/>
      <c r="X27" s="4"/>
      <c r="Y27" s="4"/>
      <c r="Z27" s="4"/>
    </row>
    <row r="28" spans="1:26" s="65" customFormat="1" x14ac:dyDescent="0.25">
      <c r="A28" s="74" t="s">
        <v>85</v>
      </c>
      <c r="C28" s="4"/>
      <c r="D28" s="4"/>
      <c r="E28" s="4"/>
      <c r="H28" s="74"/>
      <c r="J28" s="4"/>
      <c r="K28" s="4"/>
      <c r="L28" s="4"/>
      <c r="O28" s="74"/>
      <c r="Q28" s="4"/>
      <c r="R28" s="4"/>
      <c r="S28" s="4"/>
      <c r="V28" s="74"/>
      <c r="X28" s="4"/>
      <c r="Y28" s="4"/>
      <c r="Z28" s="4"/>
    </row>
    <row r="29" spans="1:26" x14ac:dyDescent="0.25">
      <c r="A29" s="46" t="s">
        <v>9</v>
      </c>
      <c r="B29" s="27"/>
      <c r="C29" s="27"/>
      <c r="D29" s="27"/>
      <c r="E29" s="28"/>
      <c r="H29" s="46" t="s">
        <v>89</v>
      </c>
      <c r="I29" s="27"/>
      <c r="J29" s="27"/>
      <c r="K29" s="27"/>
      <c r="L29" s="28"/>
      <c r="O29" s="46" t="s">
        <v>9</v>
      </c>
      <c r="P29" s="27"/>
      <c r="Q29" s="27"/>
      <c r="R29" s="27"/>
      <c r="S29" s="28"/>
      <c r="V29" s="46" t="s">
        <v>9</v>
      </c>
      <c r="W29" s="27"/>
      <c r="X29" s="27"/>
      <c r="Y29" s="27"/>
      <c r="Z29" s="28"/>
    </row>
    <row r="30" spans="1:26" x14ac:dyDescent="0.25">
      <c r="A30" s="13" t="s">
        <v>0</v>
      </c>
      <c r="B30" s="13" t="s">
        <v>1</v>
      </c>
      <c r="C30" s="13" t="s">
        <v>84</v>
      </c>
      <c r="D30" s="13" t="s">
        <v>5</v>
      </c>
      <c r="E30" s="53" t="s">
        <v>74</v>
      </c>
      <c r="F30" s="83"/>
      <c r="H30" s="13" t="s">
        <v>0</v>
      </c>
      <c r="I30" s="13" t="s">
        <v>1</v>
      </c>
      <c r="J30" s="13" t="s">
        <v>84</v>
      </c>
      <c r="K30" s="13" t="s">
        <v>5</v>
      </c>
      <c r="L30" s="53" t="s">
        <v>74</v>
      </c>
      <c r="M30" s="83"/>
      <c r="N30" s="83"/>
      <c r="O30" s="13" t="s">
        <v>0</v>
      </c>
      <c r="P30" s="13" t="s">
        <v>1</v>
      </c>
      <c r="Q30" s="13" t="s">
        <v>84</v>
      </c>
      <c r="R30" s="13" t="s">
        <v>5</v>
      </c>
      <c r="S30" s="53" t="s">
        <v>74</v>
      </c>
      <c r="V30" s="13" t="s">
        <v>0</v>
      </c>
      <c r="W30" s="13" t="s">
        <v>1</v>
      </c>
      <c r="X30" s="13" t="s">
        <v>84</v>
      </c>
      <c r="Y30" s="13" t="s">
        <v>5</v>
      </c>
      <c r="Z30" s="53" t="s">
        <v>74</v>
      </c>
    </row>
    <row r="31" spans="1:26" x14ac:dyDescent="0.25">
      <c r="A31" s="95" t="s">
        <v>10</v>
      </c>
      <c r="B31" s="53">
        <v>2020</v>
      </c>
      <c r="C31" s="2">
        <f t="shared" ref="C31:C43" si="4">IF(B31&gt;=Option_C1_Year,SUM(B93:F93),SUM(B111:F111))</f>
        <v>2979.8963841714285</v>
      </c>
      <c r="D31" s="2">
        <f>IF(AND(B31&gt;=Option_C1_Year,B31&lt;=(Option_C1_Year+($B$4-1))),-PMT($B$2,$B$4,$B$3,,0),0)</f>
        <v>0</v>
      </c>
      <c r="E31" s="2">
        <f>D31*Assumptions!$D$32</f>
        <v>0</v>
      </c>
      <c r="F31" s="66"/>
      <c r="H31" s="95" t="s">
        <v>10</v>
      </c>
      <c r="I31" s="53">
        <v>2020</v>
      </c>
      <c r="J31" s="2">
        <f t="shared" ref="J31:J43" si="5">IF(I31&gt;=Option_C1_Year,SUM(I93:M93),SUM(I111:M111))</f>
        <v>2887.5407317857098</v>
      </c>
      <c r="K31" s="2">
        <f t="shared" ref="K31:K43" si="6">IF(AND(I31&gt;=Option_C1_Year,I31&lt;=(Option_C1_Year+($B$4-1))),-PMT($B$2,$B$4,$B$3,,0),0)</f>
        <v>0</v>
      </c>
      <c r="L31" s="2">
        <f>K31*Assumptions!$D$32</f>
        <v>0</v>
      </c>
      <c r="M31" s="83"/>
      <c r="N31" s="83"/>
      <c r="O31" s="95" t="s">
        <v>10</v>
      </c>
      <c r="P31" s="53">
        <v>2020</v>
      </c>
      <c r="Q31" s="2">
        <f t="shared" ref="Q31:Q43" si="7">IF(P31&gt;=Option_C1_Year,SUM(P93:T93),SUM(P111:T111))</f>
        <v>174.23403594400588</v>
      </c>
      <c r="R31" s="2">
        <f t="shared" ref="R31:R43" si="8">IF(AND(P31&gt;=Option_C1_Year,P31&lt;=(Option_C1_Year+($B$4-1))),-PMT($B$2,$B$4,$B$3,,0),0)</f>
        <v>0</v>
      </c>
      <c r="S31" s="2">
        <f>R31*Assumptions!$D$32</f>
        <v>0</v>
      </c>
      <c r="V31" s="95" t="s">
        <v>10</v>
      </c>
      <c r="W31" s="53">
        <v>2020</v>
      </c>
      <c r="X31" s="2">
        <f t="shared" ref="X31:X43" si="9">IF(W31&gt;=Option_C1_Year,SUM(W93:AA93),SUM(W111:AA111))</f>
        <v>0</v>
      </c>
      <c r="Y31" s="2">
        <f t="shared" ref="Y31:Y43" si="10">IF(AND(W31&gt;=Option_C1_Year,W31&lt;=(Option_C1_Year+($B$4-1))),-PMT($B$2,$B$4,$B$3,,0),0)</f>
        <v>0</v>
      </c>
      <c r="Z31" s="2">
        <f>Y31*Assumptions!$D$32</f>
        <v>0</v>
      </c>
    </row>
    <row r="32" spans="1:26" x14ac:dyDescent="0.25">
      <c r="A32" s="96"/>
      <c r="B32" s="53">
        <v>2021</v>
      </c>
      <c r="C32" s="2">
        <f t="shared" si="4"/>
        <v>-7385.4104361963036</v>
      </c>
      <c r="D32" s="2">
        <f t="shared" ref="D32:D43" si="11">IF(AND(B32&gt;=Option_C1_Year,B32&lt;=(Option_C1_Year+($B$4-1))),-PMT($B$2,$B$4,$B$3,,0),0)</f>
        <v>0</v>
      </c>
      <c r="E32" s="2">
        <f>D32*Assumptions!$D$32</f>
        <v>0</v>
      </c>
      <c r="F32" s="48"/>
      <c r="H32" s="96"/>
      <c r="I32" s="53">
        <v>2021</v>
      </c>
      <c r="J32" s="2">
        <f t="shared" si="5"/>
        <v>-7272.2234018583331</v>
      </c>
      <c r="K32" s="2">
        <f t="shared" si="6"/>
        <v>0</v>
      </c>
      <c r="L32" s="2">
        <f>K32*Assumptions!$D$32</f>
        <v>0</v>
      </c>
      <c r="O32" s="96"/>
      <c r="P32" s="53">
        <v>2021</v>
      </c>
      <c r="Q32" s="2">
        <f t="shared" si="7"/>
        <v>-7203.3304420248605</v>
      </c>
      <c r="R32" s="2">
        <f t="shared" si="8"/>
        <v>0</v>
      </c>
      <c r="S32" s="2">
        <f>R32*Assumptions!$D$32</f>
        <v>0</v>
      </c>
      <c r="V32" s="96"/>
      <c r="W32" s="53">
        <v>2021</v>
      </c>
      <c r="X32" s="2">
        <f t="shared" si="9"/>
        <v>-10753.284428262647</v>
      </c>
      <c r="Y32" s="2">
        <f t="shared" si="10"/>
        <v>0</v>
      </c>
      <c r="Z32" s="2">
        <f>Y32*Assumptions!$D$32</f>
        <v>0</v>
      </c>
    </row>
    <row r="33" spans="1:26" x14ac:dyDescent="0.25">
      <c r="A33" s="96"/>
      <c r="B33" s="53">
        <v>2022</v>
      </c>
      <c r="C33" s="2">
        <f t="shared" si="4"/>
        <v>-15478.921648694544</v>
      </c>
      <c r="D33" s="2">
        <f t="shared" si="11"/>
        <v>0</v>
      </c>
      <c r="E33" s="2">
        <f>D33*Assumptions!$D$32</f>
        <v>0</v>
      </c>
      <c r="F33" s="48"/>
      <c r="H33" s="96"/>
      <c r="I33" s="53">
        <v>2022</v>
      </c>
      <c r="J33" s="2">
        <f t="shared" si="5"/>
        <v>-15324.569634523643</v>
      </c>
      <c r="K33" s="2">
        <f t="shared" si="6"/>
        <v>0</v>
      </c>
      <c r="L33" s="2">
        <f>K33*Assumptions!$D$32</f>
        <v>0</v>
      </c>
      <c r="O33" s="96"/>
      <c r="P33" s="53">
        <v>2022</v>
      </c>
      <c r="Q33" s="2">
        <f t="shared" si="7"/>
        <v>-10922.327399780566</v>
      </c>
      <c r="R33" s="2">
        <f t="shared" si="8"/>
        <v>0</v>
      </c>
      <c r="S33" s="2">
        <f>R33*Assumptions!$D$32</f>
        <v>0</v>
      </c>
      <c r="V33" s="96"/>
      <c r="W33" s="53">
        <v>2022</v>
      </c>
      <c r="X33" s="2">
        <f t="shared" si="9"/>
        <v>-34870.924877442827</v>
      </c>
      <c r="Y33" s="2">
        <f t="shared" si="10"/>
        <v>0</v>
      </c>
      <c r="Z33" s="2">
        <f>Y33*Assumptions!$D$32</f>
        <v>0</v>
      </c>
    </row>
    <row r="34" spans="1:26" x14ac:dyDescent="0.25">
      <c r="A34" s="96"/>
      <c r="B34" s="53">
        <v>2023</v>
      </c>
      <c r="C34" s="2">
        <f t="shared" si="4"/>
        <v>-53299.120466974258</v>
      </c>
      <c r="D34" s="2">
        <f t="shared" si="11"/>
        <v>0</v>
      </c>
      <c r="E34" s="2">
        <f>D34*Assumptions!$D$32</f>
        <v>0</v>
      </c>
      <c r="F34" s="81"/>
      <c r="H34" s="96"/>
      <c r="I34" s="53">
        <v>2023</v>
      </c>
      <c r="J34" s="2">
        <f t="shared" si="5"/>
        <v>-50903.479973725451</v>
      </c>
      <c r="K34" s="2">
        <f t="shared" si="6"/>
        <v>0</v>
      </c>
      <c r="L34" s="2">
        <f>K34*Assumptions!$D$32</f>
        <v>0</v>
      </c>
      <c r="O34" s="96"/>
      <c r="P34" s="53">
        <v>2023</v>
      </c>
      <c r="Q34" s="2">
        <f t="shared" si="7"/>
        <v>-9744.2634224900539</v>
      </c>
      <c r="R34" s="2">
        <f t="shared" si="8"/>
        <v>0</v>
      </c>
      <c r="S34" s="2">
        <f>R34*Assumptions!$D$32</f>
        <v>0</v>
      </c>
      <c r="V34" s="96"/>
      <c r="W34" s="53">
        <v>2023</v>
      </c>
      <c r="X34" s="2">
        <f t="shared" si="9"/>
        <v>-131032.21362490779</v>
      </c>
      <c r="Y34" s="2">
        <f t="shared" si="10"/>
        <v>0</v>
      </c>
      <c r="Z34" s="2">
        <f>Y34*Assumptions!$D$32</f>
        <v>0</v>
      </c>
    </row>
    <row r="35" spans="1:26" x14ac:dyDescent="0.25">
      <c r="A35" s="96"/>
      <c r="B35" s="53">
        <v>2024</v>
      </c>
      <c r="C35" s="2">
        <f t="shared" si="4"/>
        <v>-581.07326461176126</v>
      </c>
      <c r="D35" s="2">
        <f t="shared" si="11"/>
        <v>0</v>
      </c>
      <c r="E35" s="2">
        <f>D35*Assumptions!$D$32</f>
        <v>0</v>
      </c>
      <c r="H35" s="96"/>
      <c r="I35" s="53">
        <v>2024</v>
      </c>
      <c r="J35" s="2">
        <f t="shared" si="5"/>
        <v>1264.4401356084782</v>
      </c>
      <c r="K35" s="2">
        <f t="shared" si="6"/>
        <v>0</v>
      </c>
      <c r="L35" s="2">
        <f>K35*Assumptions!$D$32</f>
        <v>0</v>
      </c>
      <c r="O35" s="96"/>
      <c r="P35" s="53">
        <v>2024</v>
      </c>
      <c r="Q35" s="2">
        <f t="shared" si="7"/>
        <v>14104.348904757346</v>
      </c>
      <c r="R35" s="2">
        <f t="shared" si="8"/>
        <v>0</v>
      </c>
      <c r="S35" s="2">
        <f>R35*Assumptions!$D$32</f>
        <v>0</v>
      </c>
      <c r="V35" s="96"/>
      <c r="W35" s="53">
        <v>2024</v>
      </c>
      <c r="X35" s="2">
        <f t="shared" si="9"/>
        <v>-27423.479550439406</v>
      </c>
      <c r="Y35" s="2">
        <f t="shared" si="10"/>
        <v>0</v>
      </c>
      <c r="Z35" s="2">
        <f>Y35*Assumptions!$D$32</f>
        <v>0</v>
      </c>
    </row>
    <row r="36" spans="1:26" x14ac:dyDescent="0.25">
      <c r="A36" s="96"/>
      <c r="B36" s="53">
        <v>2025</v>
      </c>
      <c r="C36" s="2">
        <f t="shared" si="4"/>
        <v>-18665.585616984492</v>
      </c>
      <c r="D36" s="2">
        <f t="shared" si="11"/>
        <v>32184.674488510766</v>
      </c>
      <c r="E36" s="2">
        <f>D36*Assumptions!$D$32</f>
        <v>237.1958752926069</v>
      </c>
      <c r="H36" s="96"/>
      <c r="I36" s="53">
        <v>2025</v>
      </c>
      <c r="J36" s="2">
        <f t="shared" si="5"/>
        <v>10005.916417781453</v>
      </c>
      <c r="K36" s="2">
        <f t="shared" si="6"/>
        <v>32184.674488510766</v>
      </c>
      <c r="L36" s="2">
        <f>K36*Assumptions!$D$32</f>
        <v>237.1958752926069</v>
      </c>
      <c r="O36" s="96"/>
      <c r="P36" s="53">
        <v>2025</v>
      </c>
      <c r="Q36" s="2">
        <f t="shared" si="7"/>
        <v>6449.53978762513</v>
      </c>
      <c r="R36" s="2">
        <f t="shared" si="8"/>
        <v>32184.674488510766</v>
      </c>
      <c r="S36" s="2">
        <f>R36*Assumptions!$D$32</f>
        <v>237.1958752926069</v>
      </c>
      <c r="V36" s="96"/>
      <c r="W36" s="53">
        <v>2025</v>
      </c>
      <c r="X36" s="2">
        <f t="shared" si="9"/>
        <v>-13956.064063581609</v>
      </c>
      <c r="Y36" s="2">
        <f t="shared" si="10"/>
        <v>32184.674488510766</v>
      </c>
      <c r="Z36" s="2">
        <f>Y36*Assumptions!$D$32</f>
        <v>237.1958752926069</v>
      </c>
    </row>
    <row r="37" spans="1:26" x14ac:dyDescent="0.25">
      <c r="A37" s="96"/>
      <c r="B37" s="53">
        <v>2026</v>
      </c>
      <c r="C37" s="2">
        <f t="shared" si="4"/>
        <v>-10106.276990535225</v>
      </c>
      <c r="D37" s="2">
        <f t="shared" si="11"/>
        <v>32184.674488510766</v>
      </c>
      <c r="E37" s="2">
        <f>D37*Assumptions!$D$32</f>
        <v>237.1958752926069</v>
      </c>
      <c r="H37" s="96"/>
      <c r="I37" s="53">
        <v>2026</v>
      </c>
      <c r="J37" s="2">
        <f t="shared" si="5"/>
        <v>9925.1662059279042</v>
      </c>
      <c r="K37" s="2">
        <f t="shared" si="6"/>
        <v>32184.674488510766</v>
      </c>
      <c r="L37" s="2">
        <f>K37*Assumptions!$D$32</f>
        <v>237.1958752926069</v>
      </c>
      <c r="O37" s="96"/>
      <c r="P37" s="53">
        <v>2026</v>
      </c>
      <c r="Q37" s="2">
        <f t="shared" si="7"/>
        <v>1350.9439508350715</v>
      </c>
      <c r="R37" s="2">
        <f t="shared" si="8"/>
        <v>32184.674488510766</v>
      </c>
      <c r="S37" s="2">
        <f>R37*Assumptions!$D$32</f>
        <v>237.1958752926069</v>
      </c>
      <c r="V37" s="96"/>
      <c r="W37" s="53">
        <v>2026</v>
      </c>
      <c r="X37" s="2">
        <f t="shared" si="9"/>
        <v>-8629.5888642970385</v>
      </c>
      <c r="Y37" s="2">
        <f t="shared" si="10"/>
        <v>32184.674488510766</v>
      </c>
      <c r="Z37" s="2">
        <f>Y37*Assumptions!$D$32</f>
        <v>237.1958752926069</v>
      </c>
    </row>
    <row r="38" spans="1:26" x14ac:dyDescent="0.25">
      <c r="A38" s="96"/>
      <c r="B38" s="53">
        <v>2027</v>
      </c>
      <c r="C38" s="2">
        <f t="shared" si="4"/>
        <v>-7141.3437730219011</v>
      </c>
      <c r="D38" s="2">
        <f t="shared" si="11"/>
        <v>32184.674488510766</v>
      </c>
      <c r="E38" s="2">
        <f>D38*Assumptions!$D$32</f>
        <v>237.1958752926069</v>
      </c>
      <c r="H38" s="96"/>
      <c r="I38" s="53">
        <v>2027</v>
      </c>
      <c r="J38" s="2">
        <f t="shared" si="5"/>
        <v>6119.9075595342365</v>
      </c>
      <c r="K38" s="2">
        <f t="shared" si="6"/>
        <v>32184.674488510766</v>
      </c>
      <c r="L38" s="2">
        <f>K38*Assumptions!$D$32</f>
        <v>237.1958752926069</v>
      </c>
      <c r="O38" s="96"/>
      <c r="P38" s="53">
        <v>2027</v>
      </c>
      <c r="Q38" s="2">
        <f t="shared" si="7"/>
        <v>2481.0561477290612</v>
      </c>
      <c r="R38" s="2">
        <f t="shared" si="8"/>
        <v>32184.674488510766</v>
      </c>
      <c r="S38" s="2">
        <f>R38*Assumptions!$D$32</f>
        <v>237.1958752926069</v>
      </c>
      <c r="V38" s="96"/>
      <c r="W38" s="53">
        <v>2027</v>
      </c>
      <c r="X38" s="2">
        <f t="shared" si="9"/>
        <v>-8007.5121919745143</v>
      </c>
      <c r="Y38" s="2">
        <f t="shared" si="10"/>
        <v>32184.674488510766</v>
      </c>
      <c r="Z38" s="2">
        <f>Y38*Assumptions!$D$32</f>
        <v>237.1958752926069</v>
      </c>
    </row>
    <row r="39" spans="1:26" x14ac:dyDescent="0.25">
      <c r="A39" s="96"/>
      <c r="B39" s="53">
        <v>2028</v>
      </c>
      <c r="C39" s="2">
        <f t="shared" si="4"/>
        <v>-8390.9951586379975</v>
      </c>
      <c r="D39" s="2">
        <f t="shared" si="11"/>
        <v>32184.674488510766</v>
      </c>
      <c r="E39" s="2">
        <f>D39*Assumptions!$D$32</f>
        <v>237.1958752926069</v>
      </c>
      <c r="H39" s="96"/>
      <c r="I39" s="53">
        <v>2028</v>
      </c>
      <c r="J39" s="2">
        <f t="shared" si="5"/>
        <v>6133.5649802608241</v>
      </c>
      <c r="K39" s="2">
        <f t="shared" si="6"/>
        <v>32184.674488510766</v>
      </c>
      <c r="L39" s="2">
        <f>K39*Assumptions!$D$32</f>
        <v>237.1958752926069</v>
      </c>
      <c r="O39" s="96"/>
      <c r="P39" s="53">
        <v>2028</v>
      </c>
      <c r="Q39" s="2">
        <f t="shared" si="7"/>
        <v>1526.9644369037414</v>
      </c>
      <c r="R39" s="2">
        <f t="shared" si="8"/>
        <v>32184.674488510766</v>
      </c>
      <c r="S39" s="2">
        <f>R39*Assumptions!$D$32</f>
        <v>237.1958752926069</v>
      </c>
      <c r="V39" s="96"/>
      <c r="W39" s="53">
        <v>2028</v>
      </c>
      <c r="X39" s="2">
        <f t="shared" si="9"/>
        <v>-6205.0468052592187</v>
      </c>
      <c r="Y39" s="2">
        <f t="shared" si="10"/>
        <v>32184.674488510766</v>
      </c>
      <c r="Z39" s="2">
        <f>Y39*Assumptions!$D$32</f>
        <v>237.1958752926069</v>
      </c>
    </row>
    <row r="40" spans="1:26" x14ac:dyDescent="0.25">
      <c r="A40" s="96"/>
      <c r="B40" s="53">
        <v>2029</v>
      </c>
      <c r="C40" s="2">
        <f t="shared" si="4"/>
        <v>2284.0820892611446</v>
      </c>
      <c r="D40" s="2">
        <f t="shared" si="11"/>
        <v>32184.674488510766</v>
      </c>
      <c r="E40" s="2">
        <f>D40*Assumptions!$D$32</f>
        <v>237.1958752926069</v>
      </c>
      <c r="H40" s="96"/>
      <c r="I40" s="53">
        <v>2029</v>
      </c>
      <c r="J40" s="2">
        <f t="shared" si="5"/>
        <v>7894.1361466502567</v>
      </c>
      <c r="K40" s="2">
        <f t="shared" si="6"/>
        <v>32184.674488510766</v>
      </c>
      <c r="L40" s="2">
        <f>K40*Assumptions!$D$32</f>
        <v>237.1958752926069</v>
      </c>
      <c r="O40" s="96"/>
      <c r="P40" s="53">
        <v>2029</v>
      </c>
      <c r="Q40" s="2">
        <f t="shared" si="7"/>
        <v>6297.6869451465172</v>
      </c>
      <c r="R40" s="2">
        <f t="shared" si="8"/>
        <v>32184.674488510766</v>
      </c>
      <c r="S40" s="2">
        <f>R40*Assumptions!$D$32</f>
        <v>237.1958752926069</v>
      </c>
      <c r="V40" s="96"/>
      <c r="W40" s="53">
        <v>2029</v>
      </c>
      <c r="X40" s="2">
        <f t="shared" si="9"/>
        <v>35936.656521790312</v>
      </c>
      <c r="Y40" s="2">
        <f t="shared" si="10"/>
        <v>32184.674488510766</v>
      </c>
      <c r="Z40" s="2">
        <f>Y40*Assumptions!$D$32</f>
        <v>237.1958752926069</v>
      </c>
    </row>
    <row r="41" spans="1:26" x14ac:dyDescent="0.25">
      <c r="A41" s="96"/>
      <c r="B41" s="53">
        <v>2030</v>
      </c>
      <c r="C41" s="2">
        <f t="shared" si="4"/>
        <v>7009.0283995210848</v>
      </c>
      <c r="D41" s="2">
        <f t="shared" si="11"/>
        <v>32184.674488510766</v>
      </c>
      <c r="E41" s="2">
        <f>D41*Assumptions!$D$32</f>
        <v>237.1958752926069</v>
      </c>
      <c r="H41" s="96"/>
      <c r="I41" s="53">
        <v>2030</v>
      </c>
      <c r="J41" s="2">
        <f t="shared" si="5"/>
        <v>7342.4453122651903</v>
      </c>
      <c r="K41" s="2">
        <f t="shared" si="6"/>
        <v>32184.674488510766</v>
      </c>
      <c r="L41" s="2">
        <f>K41*Assumptions!$D$32</f>
        <v>237.1958752926069</v>
      </c>
      <c r="O41" s="96"/>
      <c r="P41" s="53">
        <v>2030</v>
      </c>
      <c r="Q41" s="2">
        <f t="shared" si="7"/>
        <v>6159.0523847347959</v>
      </c>
      <c r="R41" s="2">
        <f t="shared" si="8"/>
        <v>32184.674488510766</v>
      </c>
      <c r="S41" s="2">
        <f>R41*Assumptions!$D$32</f>
        <v>237.1958752926069</v>
      </c>
      <c r="V41" s="96"/>
      <c r="W41" s="53">
        <v>2030</v>
      </c>
      <c r="X41" s="2">
        <f t="shared" si="9"/>
        <v>32690.70695057101</v>
      </c>
      <c r="Y41" s="2">
        <f t="shared" si="10"/>
        <v>32184.674488510766</v>
      </c>
      <c r="Z41" s="2">
        <f>Y41*Assumptions!$D$32</f>
        <v>237.1958752926069</v>
      </c>
    </row>
    <row r="42" spans="1:26" x14ac:dyDescent="0.25">
      <c r="A42" s="96"/>
      <c r="B42" s="53">
        <v>2031</v>
      </c>
      <c r="C42" s="2">
        <f t="shared" si="4"/>
        <v>9353.8805726692444</v>
      </c>
      <c r="D42" s="2">
        <f t="shared" si="11"/>
        <v>32184.674488510766</v>
      </c>
      <c r="E42" s="2">
        <f>D42*Assumptions!$D$32</f>
        <v>237.1958752926069</v>
      </c>
      <c r="H42" s="96"/>
      <c r="I42" s="53">
        <v>2031</v>
      </c>
      <c r="J42" s="2">
        <f t="shared" si="5"/>
        <v>10494.713031973894</v>
      </c>
      <c r="K42" s="2">
        <f t="shared" si="6"/>
        <v>32184.674488510766</v>
      </c>
      <c r="L42" s="2">
        <f>K42*Assumptions!$D$32</f>
        <v>237.1958752926069</v>
      </c>
      <c r="O42" s="96"/>
      <c r="P42" s="53">
        <v>2031</v>
      </c>
      <c r="Q42" s="2">
        <f t="shared" si="7"/>
        <v>4453.5243186301886</v>
      </c>
      <c r="R42" s="2">
        <f t="shared" si="8"/>
        <v>32184.674488510766</v>
      </c>
      <c r="S42" s="2">
        <f>R42*Assumptions!$D$32</f>
        <v>237.1958752926069</v>
      </c>
      <c r="V42" s="96"/>
      <c r="W42" s="53">
        <v>2031</v>
      </c>
      <c r="X42" s="2">
        <f t="shared" si="9"/>
        <v>8735.5274809513357</v>
      </c>
      <c r="Y42" s="2">
        <f t="shared" si="10"/>
        <v>32184.674488510766</v>
      </c>
      <c r="Z42" s="2">
        <f>Y42*Assumptions!$D$32</f>
        <v>237.1958752926069</v>
      </c>
    </row>
    <row r="43" spans="1:26" x14ac:dyDescent="0.25">
      <c r="A43" s="96"/>
      <c r="B43" s="53">
        <v>2032</v>
      </c>
      <c r="C43" s="2">
        <f t="shared" si="4"/>
        <v>10312.312391163221</v>
      </c>
      <c r="D43" s="2">
        <f t="shared" si="11"/>
        <v>32184.674488510766</v>
      </c>
      <c r="E43" s="2">
        <f>D43*Assumptions!$D$32</f>
        <v>237.1958752926069</v>
      </c>
      <c r="H43" s="96"/>
      <c r="I43" s="53">
        <v>2032</v>
      </c>
      <c r="J43" s="2">
        <f t="shared" si="5"/>
        <v>8369.6654617536406</v>
      </c>
      <c r="K43" s="2">
        <f t="shared" si="6"/>
        <v>32184.674488510766</v>
      </c>
      <c r="L43" s="2">
        <f>K43*Assumptions!$D$32</f>
        <v>237.1958752926069</v>
      </c>
      <c r="O43" s="96"/>
      <c r="P43" s="53">
        <v>2032</v>
      </c>
      <c r="Q43" s="2">
        <f t="shared" si="7"/>
        <v>4800.0044209127227</v>
      </c>
      <c r="R43" s="2">
        <f t="shared" si="8"/>
        <v>32184.674488510766</v>
      </c>
      <c r="S43" s="2">
        <f>R43*Assumptions!$D$32</f>
        <v>237.1958752926069</v>
      </c>
      <c r="V43" s="96"/>
      <c r="W43" s="53">
        <v>2032</v>
      </c>
      <c r="X43" s="2">
        <f t="shared" si="9"/>
        <v>32923.062290777598</v>
      </c>
      <c r="Y43" s="2">
        <f t="shared" si="10"/>
        <v>32184.674488510766</v>
      </c>
      <c r="Z43" s="2">
        <f>Y43*Assumptions!$D$32</f>
        <v>237.1958752926069</v>
      </c>
    </row>
    <row r="44" spans="1:26" x14ac:dyDescent="0.25">
      <c r="A44" s="97"/>
      <c r="B44" s="53" t="s">
        <v>44</v>
      </c>
      <c r="C44" s="2">
        <f>-PV($B$2,(Network_option_lifespan-(B43-Option_C1_Year)),AVERAGE(C41:C43),,0)</f>
        <v>136098.51714251621</v>
      </c>
      <c r="D44" s="2">
        <f>-PV($B$2,($B$4-COUNTIF(D31:D43,"&gt;"&amp;0)),$D$43,,0)</f>
        <v>387554.38792694727</v>
      </c>
      <c r="E44" s="2">
        <f>-PV($B$2,($B$4-COUNTIF(E31:E43,"&gt;"&amp;0)),$E$43,,0)</f>
        <v>2856.2135155550041</v>
      </c>
      <c r="H44" s="97"/>
      <c r="I44" s="53" t="s">
        <v>44</v>
      </c>
      <c r="J44" s="2">
        <f>-PV($B$2,(Network_option_lifespan-(I43-Option_C1_Year)),AVERAGE(J41:J43),,0)</f>
        <v>133708.72580314375</v>
      </c>
      <c r="K44" s="2">
        <f>-PV($B$2,($B$4-COUNTIF(K31:K43,"&gt;"&amp;0)),$D$43,,0)</f>
        <v>387554.38792694727</v>
      </c>
      <c r="L44" s="2">
        <f>-PV($B$2,($B$4-COUNTIF(L31:L43,"&gt;"&amp;0)),$E$43,,0)</f>
        <v>2856.2135155550041</v>
      </c>
      <c r="O44" s="97"/>
      <c r="P44" s="53" t="s">
        <v>44</v>
      </c>
      <c r="Q44" s="2">
        <f>-PV($B$2,(Network_option_lifespan-(P43-Option_C1_Year)),AVERAGE(Q41:Q43),,0)</f>
        <v>78635.877385244748</v>
      </c>
      <c r="R44" s="2">
        <f>-PV($B$2,($B$4-COUNTIF(R31:R43,"&gt;"&amp;0)),$D$43,,0)</f>
        <v>387554.38792694727</v>
      </c>
      <c r="S44" s="2">
        <f>-PV($B$2,($B$4-COUNTIF(S31:S43,"&gt;"&amp;0)),$E$43,,0)</f>
        <v>2856.2135155550041</v>
      </c>
      <c r="V44" s="97"/>
      <c r="W44" s="53" t="s">
        <v>44</v>
      </c>
      <c r="X44" s="2">
        <f>-PV($B$2,(Network_option_lifespan-(W43-Option_C1_Year)),AVERAGE(X41:X43),,0)</f>
        <v>379334.39789164119</v>
      </c>
      <c r="Y44" s="2">
        <f>-PV($B$2,($B$4-COUNTIF(Y31:Y43,"&gt;"&amp;0)),$D$43,,0)</f>
        <v>387554.38792694727</v>
      </c>
      <c r="Z44" s="2">
        <f>-PV($B$2,($B$4-COUNTIF(Z31:Z43,"&gt;"&amp;0)),$E$43,,0)</f>
        <v>2856.2135155550041</v>
      </c>
    </row>
    <row r="46" spans="1:26" x14ac:dyDescent="0.25">
      <c r="A46" s="62" t="s">
        <v>82</v>
      </c>
    </row>
    <row r="47" spans="1:26" x14ac:dyDescent="0.25">
      <c r="A47" s="46" t="s">
        <v>9</v>
      </c>
      <c r="B47" s="46"/>
      <c r="C47" s="88">
        <f>NPV($B$2,C49:C70)</f>
        <v>62710.567924461473</v>
      </c>
      <c r="D47" s="88">
        <f>NPV($B$2,D49:D70)</f>
        <v>0</v>
      </c>
      <c r="E47" s="88">
        <f>NPV($B$2,E49:E70)</f>
        <v>62710.567924461473</v>
      </c>
      <c r="H47" s="46" t="s">
        <v>89</v>
      </c>
      <c r="I47" s="46"/>
      <c r="J47" s="88">
        <f>NPV($B$2,J49:J70)</f>
        <v>62710.567924461473</v>
      </c>
      <c r="K47" s="88">
        <f>NPV($B$2,K49:K70)</f>
        <v>0</v>
      </c>
      <c r="L47" s="88">
        <f>NPV($B$2,L49:L70)</f>
        <v>62710.567924461473</v>
      </c>
      <c r="O47" s="46" t="s">
        <v>20</v>
      </c>
      <c r="P47" s="46"/>
      <c r="Q47" s="88">
        <f>NPV($B$2,Q49:Q70)</f>
        <v>62710.567924461473</v>
      </c>
      <c r="R47" s="88">
        <f>NPV($B$2,R49:R70)</f>
        <v>0</v>
      </c>
      <c r="S47" s="88">
        <f>NPV($B$2,S49:S70)</f>
        <v>62710.567924461473</v>
      </c>
      <c r="V47" s="46" t="s">
        <v>21</v>
      </c>
      <c r="W47" s="46"/>
      <c r="X47" s="88">
        <f>NPV($B$2,X49:X70)</f>
        <v>62710.567924461473</v>
      </c>
      <c r="Y47" s="88">
        <f>NPV($B$2,Y49:Y70)</f>
        <v>0</v>
      </c>
      <c r="Z47" s="88">
        <f>NPV($B$2,Z49:Z70)</f>
        <v>62710.567924461473</v>
      </c>
    </row>
    <row r="48" spans="1:26" x14ac:dyDescent="0.25">
      <c r="A48" s="13" t="s">
        <v>0</v>
      </c>
      <c r="B48" s="13" t="s">
        <v>1</v>
      </c>
      <c r="C48" s="13" t="s">
        <v>76</v>
      </c>
      <c r="D48" s="13" t="s">
        <v>77</v>
      </c>
      <c r="E48" s="53" t="s">
        <v>78</v>
      </c>
      <c r="F48" s="83"/>
      <c r="H48" s="13" t="s">
        <v>0</v>
      </c>
      <c r="I48" s="13" t="s">
        <v>1</v>
      </c>
      <c r="J48" s="13" t="s">
        <v>76</v>
      </c>
      <c r="K48" s="13" t="s">
        <v>77</v>
      </c>
      <c r="L48" s="53" t="s">
        <v>78</v>
      </c>
      <c r="M48" s="83"/>
      <c r="N48" s="83"/>
      <c r="O48" s="13" t="s">
        <v>0</v>
      </c>
      <c r="P48" s="13" t="s">
        <v>1</v>
      </c>
      <c r="Q48" s="13" t="s">
        <v>76</v>
      </c>
      <c r="R48" s="13" t="s">
        <v>77</v>
      </c>
      <c r="S48" s="53" t="s">
        <v>78</v>
      </c>
      <c r="V48" s="13" t="s">
        <v>0</v>
      </c>
      <c r="W48" s="13" t="s">
        <v>1</v>
      </c>
      <c r="X48" s="13" t="s">
        <v>76</v>
      </c>
      <c r="Y48" s="13" t="s">
        <v>77</v>
      </c>
      <c r="Z48" s="53" t="s">
        <v>78</v>
      </c>
    </row>
    <row r="49" spans="1:26" x14ac:dyDescent="0.25">
      <c r="A49" s="94" t="s">
        <v>10</v>
      </c>
      <c r="B49" s="13">
        <v>2020</v>
      </c>
      <c r="C49" s="2">
        <v>0</v>
      </c>
      <c r="D49" s="2">
        <v>0</v>
      </c>
      <c r="E49" s="2">
        <f>C49-D49</f>
        <v>0</v>
      </c>
      <c r="F49" s="83"/>
      <c r="H49" s="94" t="s">
        <v>10</v>
      </c>
      <c r="I49" s="13">
        <v>2020</v>
      </c>
      <c r="J49" s="2">
        <v>0</v>
      </c>
      <c r="K49" s="2">
        <v>0</v>
      </c>
      <c r="L49" s="2">
        <f>J49-K49</f>
        <v>0</v>
      </c>
      <c r="M49" s="83"/>
      <c r="N49" s="83"/>
      <c r="O49" s="94" t="s">
        <v>10</v>
      </c>
      <c r="P49" s="13">
        <v>2020</v>
      </c>
      <c r="Q49" s="2">
        <v>0</v>
      </c>
      <c r="R49" s="2">
        <v>0</v>
      </c>
      <c r="S49" s="2">
        <f>Q49-R49</f>
        <v>0</v>
      </c>
      <c r="V49" s="94" t="s">
        <v>10</v>
      </c>
      <c r="W49" s="13">
        <v>2020</v>
      </c>
      <c r="X49" s="2">
        <v>0</v>
      </c>
      <c r="Y49" s="2">
        <v>0</v>
      </c>
      <c r="Z49" s="2">
        <f>X49-Y49</f>
        <v>0</v>
      </c>
    </row>
    <row r="50" spans="1:26" x14ac:dyDescent="0.25">
      <c r="A50" s="94"/>
      <c r="B50" s="53">
        <v>2021</v>
      </c>
      <c r="C50" s="2">
        <v>0</v>
      </c>
      <c r="D50" s="2">
        <v>0</v>
      </c>
      <c r="E50" s="2">
        <f t="shared" ref="E50:E69" si="12">C50-D50</f>
        <v>0</v>
      </c>
      <c r="H50" s="94" t="s">
        <v>10</v>
      </c>
      <c r="I50" s="53">
        <v>2021</v>
      </c>
      <c r="J50" s="2">
        <v>0</v>
      </c>
      <c r="K50" s="2">
        <v>0</v>
      </c>
      <c r="L50" s="2">
        <f t="shared" ref="L50:L69" si="13">J50-K50</f>
        <v>0</v>
      </c>
      <c r="O50" s="94" t="s">
        <v>10</v>
      </c>
      <c r="P50" s="53">
        <v>2021</v>
      </c>
      <c r="Q50" s="2">
        <v>0</v>
      </c>
      <c r="R50" s="2">
        <v>0</v>
      </c>
      <c r="S50" s="2">
        <f t="shared" ref="S50:S69" si="14">Q50-R50</f>
        <v>0</v>
      </c>
      <c r="V50" s="94" t="s">
        <v>10</v>
      </c>
      <c r="W50" s="53">
        <v>2021</v>
      </c>
      <c r="X50" s="2">
        <v>0</v>
      </c>
      <c r="Y50" s="2">
        <v>0</v>
      </c>
      <c r="Z50" s="2">
        <f t="shared" ref="Z50:Z69" si="15">X50-Y50</f>
        <v>0</v>
      </c>
    </row>
    <row r="51" spans="1:26" x14ac:dyDescent="0.25">
      <c r="A51" s="94"/>
      <c r="B51" s="53">
        <v>2022</v>
      </c>
      <c r="C51" s="2">
        <v>0</v>
      </c>
      <c r="D51" s="2">
        <v>0</v>
      </c>
      <c r="E51" s="2">
        <f t="shared" si="12"/>
        <v>0</v>
      </c>
      <c r="H51" s="94"/>
      <c r="I51" s="53">
        <v>2022</v>
      </c>
      <c r="J51" s="2">
        <v>0</v>
      </c>
      <c r="K51" s="2">
        <v>0</v>
      </c>
      <c r="L51" s="2">
        <f t="shared" si="13"/>
        <v>0</v>
      </c>
      <c r="O51" s="94"/>
      <c r="P51" s="53">
        <v>2022</v>
      </c>
      <c r="Q51" s="2">
        <v>0</v>
      </c>
      <c r="R51" s="2">
        <v>0</v>
      </c>
      <c r="S51" s="2">
        <f t="shared" si="14"/>
        <v>0</v>
      </c>
      <c r="V51" s="94"/>
      <c r="W51" s="53">
        <v>2022</v>
      </c>
      <c r="X51" s="2">
        <v>0</v>
      </c>
      <c r="Y51" s="2">
        <v>0</v>
      </c>
      <c r="Z51" s="2">
        <f t="shared" si="15"/>
        <v>0</v>
      </c>
    </row>
    <row r="52" spans="1:26" x14ac:dyDescent="0.25">
      <c r="A52" s="94"/>
      <c r="B52" s="53">
        <v>2023</v>
      </c>
      <c r="C52" s="2">
        <v>0</v>
      </c>
      <c r="D52" s="2">
        <v>0</v>
      </c>
      <c r="E52" s="2">
        <f t="shared" si="12"/>
        <v>0</v>
      </c>
      <c r="H52" s="94"/>
      <c r="I52" s="53">
        <v>2023</v>
      </c>
      <c r="J52" s="2">
        <v>0</v>
      </c>
      <c r="K52" s="2">
        <v>0</v>
      </c>
      <c r="L52" s="2">
        <f t="shared" si="13"/>
        <v>0</v>
      </c>
      <c r="O52" s="94"/>
      <c r="P52" s="53">
        <v>2023</v>
      </c>
      <c r="Q52" s="2">
        <v>0</v>
      </c>
      <c r="R52" s="2">
        <v>0</v>
      </c>
      <c r="S52" s="2">
        <f t="shared" si="14"/>
        <v>0</v>
      </c>
      <c r="V52" s="94"/>
      <c r="W52" s="53">
        <v>2023</v>
      </c>
      <c r="X52" s="2">
        <v>0</v>
      </c>
      <c r="Y52" s="2">
        <v>0</v>
      </c>
      <c r="Z52" s="2">
        <f t="shared" si="15"/>
        <v>0</v>
      </c>
    </row>
    <row r="53" spans="1:26" x14ac:dyDescent="0.25">
      <c r="A53" s="94"/>
      <c r="B53" s="53">
        <v>2024</v>
      </c>
      <c r="C53" s="2">
        <v>0</v>
      </c>
      <c r="D53" s="2">
        <v>0</v>
      </c>
      <c r="E53" s="2">
        <f t="shared" si="12"/>
        <v>0</v>
      </c>
      <c r="H53" s="94"/>
      <c r="I53" s="53">
        <v>2024</v>
      </c>
      <c r="J53" s="2">
        <v>0</v>
      </c>
      <c r="K53" s="2">
        <v>0</v>
      </c>
      <c r="L53" s="2">
        <f t="shared" si="13"/>
        <v>0</v>
      </c>
      <c r="O53" s="94"/>
      <c r="P53" s="53">
        <v>2024</v>
      </c>
      <c r="Q53" s="2">
        <v>0</v>
      </c>
      <c r="R53" s="2">
        <v>0</v>
      </c>
      <c r="S53" s="2">
        <f t="shared" si="14"/>
        <v>0</v>
      </c>
      <c r="V53" s="94"/>
      <c r="W53" s="53">
        <v>2024</v>
      </c>
      <c r="X53" s="2">
        <v>0</v>
      </c>
      <c r="Y53" s="2">
        <v>0</v>
      </c>
      <c r="Z53" s="2">
        <f t="shared" si="15"/>
        <v>0</v>
      </c>
    </row>
    <row r="54" spans="1:26" x14ac:dyDescent="0.25">
      <c r="A54" s="94"/>
      <c r="B54" s="53">
        <v>2025</v>
      </c>
      <c r="C54" s="2">
        <v>0</v>
      </c>
      <c r="D54" s="2">
        <v>0</v>
      </c>
      <c r="E54" s="2">
        <f t="shared" si="12"/>
        <v>0</v>
      </c>
      <c r="H54" s="94"/>
      <c r="I54" s="53">
        <v>2025</v>
      </c>
      <c r="J54" s="2">
        <v>0</v>
      </c>
      <c r="K54" s="2">
        <v>0</v>
      </c>
      <c r="L54" s="2">
        <f t="shared" si="13"/>
        <v>0</v>
      </c>
      <c r="O54" s="94"/>
      <c r="P54" s="53">
        <v>2025</v>
      </c>
      <c r="Q54" s="2">
        <v>0</v>
      </c>
      <c r="R54" s="2">
        <v>0</v>
      </c>
      <c r="S54" s="2">
        <f t="shared" si="14"/>
        <v>0</v>
      </c>
      <c r="V54" s="94"/>
      <c r="W54" s="53">
        <v>2025</v>
      </c>
      <c r="X54" s="2">
        <v>0</v>
      </c>
      <c r="Y54" s="2">
        <v>0</v>
      </c>
      <c r="Z54" s="2">
        <f t="shared" si="15"/>
        <v>0</v>
      </c>
    </row>
    <row r="55" spans="1:26" x14ac:dyDescent="0.25">
      <c r="A55" s="94"/>
      <c r="B55" s="53">
        <v>2026</v>
      </c>
      <c r="C55" s="2">
        <v>0</v>
      </c>
      <c r="D55" s="2">
        <v>0</v>
      </c>
      <c r="E55" s="2">
        <f t="shared" si="12"/>
        <v>0</v>
      </c>
      <c r="H55" s="94"/>
      <c r="I55" s="53">
        <v>2026</v>
      </c>
      <c r="J55" s="2">
        <v>0</v>
      </c>
      <c r="K55" s="2">
        <v>0</v>
      </c>
      <c r="L55" s="2">
        <f t="shared" si="13"/>
        <v>0</v>
      </c>
      <c r="O55" s="94"/>
      <c r="P55" s="53">
        <v>2026</v>
      </c>
      <c r="Q55" s="2">
        <v>0</v>
      </c>
      <c r="R55" s="2">
        <v>0</v>
      </c>
      <c r="S55" s="2">
        <f t="shared" si="14"/>
        <v>0</v>
      </c>
      <c r="V55" s="94"/>
      <c r="W55" s="53">
        <v>2026</v>
      </c>
      <c r="X55" s="2">
        <v>0</v>
      </c>
      <c r="Y55" s="2">
        <v>0</v>
      </c>
      <c r="Z55" s="2">
        <f t="shared" si="15"/>
        <v>0</v>
      </c>
    </row>
    <row r="56" spans="1:26" x14ac:dyDescent="0.25">
      <c r="A56" s="94"/>
      <c r="B56" s="53">
        <v>2027</v>
      </c>
      <c r="C56" s="2">
        <v>0</v>
      </c>
      <c r="D56" s="2">
        <v>0</v>
      </c>
      <c r="E56" s="2">
        <f t="shared" si="12"/>
        <v>0</v>
      </c>
      <c r="H56" s="94"/>
      <c r="I56" s="53">
        <v>2027</v>
      </c>
      <c r="J56" s="2">
        <v>0</v>
      </c>
      <c r="K56" s="2">
        <v>0</v>
      </c>
      <c r="L56" s="2">
        <f t="shared" si="13"/>
        <v>0</v>
      </c>
      <c r="O56" s="94"/>
      <c r="P56" s="53">
        <v>2027</v>
      </c>
      <c r="Q56" s="2">
        <v>0</v>
      </c>
      <c r="R56" s="2">
        <v>0</v>
      </c>
      <c r="S56" s="2">
        <f t="shared" si="14"/>
        <v>0</v>
      </c>
      <c r="V56" s="94"/>
      <c r="W56" s="53">
        <v>2027</v>
      </c>
      <c r="X56" s="2">
        <v>0</v>
      </c>
      <c r="Y56" s="2">
        <v>0</v>
      </c>
      <c r="Z56" s="2">
        <f t="shared" si="15"/>
        <v>0</v>
      </c>
    </row>
    <row r="57" spans="1:26" x14ac:dyDescent="0.25">
      <c r="A57" s="94"/>
      <c r="B57" s="53">
        <v>2028</v>
      </c>
      <c r="C57" s="2">
        <v>0</v>
      </c>
      <c r="D57" s="2">
        <v>0</v>
      </c>
      <c r="E57" s="2">
        <f t="shared" si="12"/>
        <v>0</v>
      </c>
      <c r="H57" s="94"/>
      <c r="I57" s="53">
        <v>2028</v>
      </c>
      <c r="J57" s="2">
        <v>0</v>
      </c>
      <c r="K57" s="2">
        <v>0</v>
      </c>
      <c r="L57" s="2">
        <f t="shared" si="13"/>
        <v>0</v>
      </c>
      <c r="O57" s="94"/>
      <c r="P57" s="53">
        <v>2028</v>
      </c>
      <c r="Q57" s="2">
        <v>0</v>
      </c>
      <c r="R57" s="2">
        <v>0</v>
      </c>
      <c r="S57" s="2">
        <f t="shared" si="14"/>
        <v>0</v>
      </c>
      <c r="V57" s="94"/>
      <c r="W57" s="53">
        <v>2028</v>
      </c>
      <c r="X57" s="2">
        <v>0</v>
      </c>
      <c r="Y57" s="2">
        <v>0</v>
      </c>
      <c r="Z57" s="2">
        <f t="shared" si="15"/>
        <v>0</v>
      </c>
    </row>
    <row r="58" spans="1:26" x14ac:dyDescent="0.25">
      <c r="A58" s="94"/>
      <c r="B58" s="53">
        <v>2029</v>
      </c>
      <c r="C58" s="2">
        <v>0</v>
      </c>
      <c r="D58" s="2">
        <v>0</v>
      </c>
      <c r="E58" s="2">
        <f t="shared" si="12"/>
        <v>0</v>
      </c>
      <c r="H58" s="94"/>
      <c r="I58" s="53">
        <v>2029</v>
      </c>
      <c r="J58" s="2">
        <v>0</v>
      </c>
      <c r="K58" s="2">
        <v>0</v>
      </c>
      <c r="L58" s="2">
        <f t="shared" si="13"/>
        <v>0</v>
      </c>
      <c r="O58" s="94"/>
      <c r="P58" s="53">
        <v>2029</v>
      </c>
      <c r="Q58" s="2">
        <v>0</v>
      </c>
      <c r="R58" s="2">
        <v>0</v>
      </c>
      <c r="S58" s="2">
        <f t="shared" si="14"/>
        <v>0</v>
      </c>
      <c r="V58" s="94"/>
      <c r="W58" s="53">
        <v>2029</v>
      </c>
      <c r="X58" s="2">
        <v>0</v>
      </c>
      <c r="Y58" s="2">
        <v>0</v>
      </c>
      <c r="Z58" s="2">
        <f t="shared" si="15"/>
        <v>0</v>
      </c>
    </row>
    <row r="59" spans="1:26" x14ac:dyDescent="0.25">
      <c r="A59" s="94"/>
      <c r="B59" s="53">
        <v>2030</v>
      </c>
      <c r="C59" s="2">
        <v>0</v>
      </c>
      <c r="D59" s="2">
        <v>0</v>
      </c>
      <c r="E59" s="2">
        <f t="shared" si="12"/>
        <v>0</v>
      </c>
      <c r="H59" s="94"/>
      <c r="I59" s="53">
        <v>2030</v>
      </c>
      <c r="J59" s="2">
        <v>0</v>
      </c>
      <c r="K59" s="2">
        <v>0</v>
      </c>
      <c r="L59" s="2">
        <f t="shared" si="13"/>
        <v>0</v>
      </c>
      <c r="O59" s="94"/>
      <c r="P59" s="53">
        <v>2030</v>
      </c>
      <c r="Q59" s="2">
        <v>0</v>
      </c>
      <c r="R59" s="2">
        <v>0</v>
      </c>
      <c r="S59" s="2">
        <f t="shared" si="14"/>
        <v>0</v>
      </c>
      <c r="V59" s="94"/>
      <c r="W59" s="53">
        <v>2030</v>
      </c>
      <c r="X59" s="2">
        <v>0</v>
      </c>
      <c r="Y59" s="2">
        <v>0</v>
      </c>
      <c r="Z59" s="2">
        <f t="shared" si="15"/>
        <v>0</v>
      </c>
    </row>
    <row r="60" spans="1:26" x14ac:dyDescent="0.25">
      <c r="A60" s="94"/>
      <c r="B60" s="53">
        <v>2031</v>
      </c>
      <c r="C60" s="2">
        <v>0</v>
      </c>
      <c r="D60" s="2">
        <v>0</v>
      </c>
      <c r="E60" s="2">
        <f t="shared" si="12"/>
        <v>0</v>
      </c>
      <c r="H60" s="94"/>
      <c r="I60" s="53">
        <v>2031</v>
      </c>
      <c r="J60" s="2">
        <v>0</v>
      </c>
      <c r="K60" s="2">
        <v>0</v>
      </c>
      <c r="L60" s="2">
        <f t="shared" si="13"/>
        <v>0</v>
      </c>
      <c r="O60" s="94"/>
      <c r="P60" s="53">
        <v>2031</v>
      </c>
      <c r="Q60" s="2">
        <v>0</v>
      </c>
      <c r="R60" s="2">
        <v>0</v>
      </c>
      <c r="S60" s="2">
        <f t="shared" si="14"/>
        <v>0</v>
      </c>
      <c r="V60" s="94"/>
      <c r="W60" s="53">
        <v>2031</v>
      </c>
      <c r="X60" s="2">
        <v>0</v>
      </c>
      <c r="Y60" s="2">
        <v>0</v>
      </c>
      <c r="Z60" s="2">
        <f t="shared" si="15"/>
        <v>0</v>
      </c>
    </row>
    <row r="61" spans="1:26" x14ac:dyDescent="0.25">
      <c r="A61" s="94"/>
      <c r="B61" s="53">
        <v>2032</v>
      </c>
      <c r="C61" s="2">
        <v>0</v>
      </c>
      <c r="D61" s="2">
        <v>0</v>
      </c>
      <c r="E61" s="2">
        <f t="shared" si="12"/>
        <v>0</v>
      </c>
      <c r="H61" s="94"/>
      <c r="I61" s="53">
        <v>2032</v>
      </c>
      <c r="J61" s="2">
        <v>0</v>
      </c>
      <c r="K61" s="2">
        <v>0</v>
      </c>
      <c r="L61" s="2">
        <f t="shared" si="13"/>
        <v>0</v>
      </c>
      <c r="O61" s="94"/>
      <c r="P61" s="53">
        <v>2032</v>
      </c>
      <c r="Q61" s="2">
        <v>0</v>
      </c>
      <c r="R61" s="2">
        <v>0</v>
      </c>
      <c r="S61" s="2">
        <f t="shared" si="14"/>
        <v>0</v>
      </c>
      <c r="V61" s="94"/>
      <c r="W61" s="53">
        <v>2032</v>
      </c>
      <c r="X61" s="2">
        <v>0</v>
      </c>
      <c r="Y61" s="2">
        <v>0</v>
      </c>
      <c r="Z61" s="2">
        <f t="shared" si="15"/>
        <v>0</v>
      </c>
    </row>
    <row r="62" spans="1:26" x14ac:dyDescent="0.25">
      <c r="A62" s="94"/>
      <c r="B62" s="53">
        <v>2033</v>
      </c>
      <c r="C62" s="2">
        <v>0</v>
      </c>
      <c r="D62" s="2">
        <v>0</v>
      </c>
      <c r="E62" s="2">
        <f t="shared" si="12"/>
        <v>0</v>
      </c>
      <c r="H62" s="94"/>
      <c r="I62" s="53">
        <v>2033</v>
      </c>
      <c r="J62" s="2">
        <v>0</v>
      </c>
      <c r="K62" s="2">
        <v>0</v>
      </c>
      <c r="L62" s="2">
        <f t="shared" si="13"/>
        <v>0</v>
      </c>
      <c r="O62" s="94"/>
      <c r="P62" s="53">
        <v>2033</v>
      </c>
      <c r="Q62" s="2">
        <v>0</v>
      </c>
      <c r="R62" s="2">
        <v>0</v>
      </c>
      <c r="S62" s="2">
        <f t="shared" si="14"/>
        <v>0</v>
      </c>
      <c r="V62" s="94"/>
      <c r="W62" s="53">
        <v>2033</v>
      </c>
      <c r="X62" s="2">
        <v>0</v>
      </c>
      <c r="Y62" s="2">
        <v>0</v>
      </c>
      <c r="Z62" s="2">
        <f t="shared" si="15"/>
        <v>0</v>
      </c>
    </row>
    <row r="63" spans="1:26" x14ac:dyDescent="0.25">
      <c r="A63" s="94"/>
      <c r="B63" s="53">
        <v>2034</v>
      </c>
      <c r="C63" s="2">
        <v>0</v>
      </c>
      <c r="D63" s="2">
        <v>0</v>
      </c>
      <c r="E63" s="2">
        <f t="shared" si="12"/>
        <v>0</v>
      </c>
      <c r="H63" s="94"/>
      <c r="I63" s="53">
        <v>2034</v>
      </c>
      <c r="J63" s="2">
        <v>0</v>
      </c>
      <c r="K63" s="2">
        <v>0</v>
      </c>
      <c r="L63" s="2">
        <f t="shared" si="13"/>
        <v>0</v>
      </c>
      <c r="O63" s="94"/>
      <c r="P63" s="53">
        <v>2034</v>
      </c>
      <c r="Q63" s="2">
        <v>0</v>
      </c>
      <c r="R63" s="2">
        <v>0</v>
      </c>
      <c r="S63" s="2">
        <f t="shared" si="14"/>
        <v>0</v>
      </c>
      <c r="V63" s="94"/>
      <c r="W63" s="53">
        <v>2034</v>
      </c>
      <c r="X63" s="2">
        <v>0</v>
      </c>
      <c r="Y63" s="2">
        <v>0</v>
      </c>
      <c r="Z63" s="2">
        <f t="shared" si="15"/>
        <v>0</v>
      </c>
    </row>
    <row r="64" spans="1:26" x14ac:dyDescent="0.25">
      <c r="A64" s="94"/>
      <c r="B64" s="53">
        <v>2035</v>
      </c>
      <c r="C64" s="2">
        <f t="shared" ref="C64:C69" si="16">-PMT($B$2,Network_payment_duration_years,$B$3*Snowylink1_Cost/(Snowylink1_Cost+Option_C1_Cost),,0)</f>
        <v>11330.609027746008</v>
      </c>
      <c r="D64" s="2">
        <v>0</v>
      </c>
      <c r="E64" s="2">
        <f t="shared" si="12"/>
        <v>11330.609027746008</v>
      </c>
      <c r="H64" s="94"/>
      <c r="I64" s="53">
        <v>2035</v>
      </c>
      <c r="J64" s="2">
        <f t="shared" ref="J64:J69" si="17">-PMT($B$2,Network_payment_duration_years,$B$3*Snowylink1_Cost/(Snowylink1_Cost+Option_C1_Cost),,0)</f>
        <v>11330.609027746008</v>
      </c>
      <c r="K64" s="2">
        <v>0</v>
      </c>
      <c r="L64" s="2">
        <f t="shared" si="13"/>
        <v>11330.609027746008</v>
      </c>
      <c r="O64" s="94"/>
      <c r="P64" s="53">
        <v>2035</v>
      </c>
      <c r="Q64" s="2">
        <f t="shared" ref="Q64:Q69" si="18">-PMT($B$2,Network_payment_duration_years,$B$3*Snowylink1_Cost/(Snowylink1_Cost+Option_C1_Cost),,0)</f>
        <v>11330.609027746008</v>
      </c>
      <c r="R64" s="2">
        <v>0</v>
      </c>
      <c r="S64" s="2">
        <f t="shared" si="14"/>
        <v>11330.609027746008</v>
      </c>
      <c r="V64" s="94"/>
      <c r="W64" s="53">
        <v>2035</v>
      </c>
      <c r="X64" s="2">
        <f t="shared" ref="X64:X69" si="19">-PMT($B$2,Network_payment_duration_years,$B$3*Snowylink1_Cost/(Snowylink1_Cost+Option_C1_Cost),,0)</f>
        <v>11330.609027746008</v>
      </c>
      <c r="Y64" s="2">
        <v>0</v>
      </c>
      <c r="Z64" s="2">
        <f t="shared" si="15"/>
        <v>11330.609027746008</v>
      </c>
    </row>
    <row r="65" spans="1:27" x14ac:dyDescent="0.25">
      <c r="A65" s="94"/>
      <c r="B65" s="53">
        <v>2036</v>
      </c>
      <c r="C65" s="2">
        <f t="shared" si="16"/>
        <v>11330.609027746008</v>
      </c>
      <c r="D65" s="2">
        <v>0</v>
      </c>
      <c r="E65" s="2">
        <f t="shared" si="12"/>
        <v>11330.609027746008</v>
      </c>
      <c r="H65" s="94"/>
      <c r="I65" s="53">
        <v>2036</v>
      </c>
      <c r="J65" s="2">
        <f t="shared" si="17"/>
        <v>11330.609027746008</v>
      </c>
      <c r="K65" s="2">
        <v>0</v>
      </c>
      <c r="L65" s="2">
        <f t="shared" si="13"/>
        <v>11330.609027746008</v>
      </c>
      <c r="O65" s="94"/>
      <c r="P65" s="53">
        <v>2036</v>
      </c>
      <c r="Q65" s="2">
        <f t="shared" si="18"/>
        <v>11330.609027746008</v>
      </c>
      <c r="R65" s="2">
        <v>0</v>
      </c>
      <c r="S65" s="2">
        <f t="shared" si="14"/>
        <v>11330.609027746008</v>
      </c>
      <c r="V65" s="94"/>
      <c r="W65" s="53">
        <v>2036</v>
      </c>
      <c r="X65" s="2">
        <f t="shared" si="19"/>
        <v>11330.609027746008</v>
      </c>
      <c r="Y65" s="2">
        <v>0</v>
      </c>
      <c r="Z65" s="2">
        <f t="shared" si="15"/>
        <v>11330.609027746008</v>
      </c>
    </row>
    <row r="66" spans="1:27" x14ac:dyDescent="0.25">
      <c r="A66" s="94"/>
      <c r="B66" s="53">
        <v>2037</v>
      </c>
      <c r="C66" s="2">
        <f t="shared" si="16"/>
        <v>11330.609027746008</v>
      </c>
      <c r="D66" s="2">
        <v>0</v>
      </c>
      <c r="E66" s="2">
        <f t="shared" si="12"/>
        <v>11330.609027746008</v>
      </c>
      <c r="H66" s="94"/>
      <c r="I66" s="53">
        <v>2037</v>
      </c>
      <c r="J66" s="2">
        <f t="shared" si="17"/>
        <v>11330.609027746008</v>
      </c>
      <c r="K66" s="2">
        <v>0</v>
      </c>
      <c r="L66" s="2">
        <f t="shared" si="13"/>
        <v>11330.609027746008</v>
      </c>
      <c r="O66" s="94"/>
      <c r="P66" s="53">
        <v>2037</v>
      </c>
      <c r="Q66" s="2">
        <f t="shared" si="18"/>
        <v>11330.609027746008</v>
      </c>
      <c r="R66" s="2">
        <v>0</v>
      </c>
      <c r="S66" s="2">
        <f t="shared" si="14"/>
        <v>11330.609027746008</v>
      </c>
      <c r="V66" s="94"/>
      <c r="W66" s="53">
        <v>2037</v>
      </c>
      <c r="X66" s="2">
        <f t="shared" si="19"/>
        <v>11330.609027746008</v>
      </c>
      <c r="Y66" s="2">
        <v>0</v>
      </c>
      <c r="Z66" s="2">
        <f t="shared" si="15"/>
        <v>11330.609027746008</v>
      </c>
    </row>
    <row r="67" spans="1:27" x14ac:dyDescent="0.25">
      <c r="A67" s="94"/>
      <c r="B67" s="53">
        <v>2038</v>
      </c>
      <c r="C67" s="2">
        <f t="shared" si="16"/>
        <v>11330.609027746008</v>
      </c>
      <c r="D67" s="2">
        <v>0</v>
      </c>
      <c r="E67" s="2">
        <f t="shared" si="12"/>
        <v>11330.609027746008</v>
      </c>
      <c r="H67" s="94"/>
      <c r="I67" s="53">
        <v>2038</v>
      </c>
      <c r="J67" s="2">
        <f t="shared" si="17"/>
        <v>11330.609027746008</v>
      </c>
      <c r="K67" s="2">
        <v>0</v>
      </c>
      <c r="L67" s="2">
        <f t="shared" si="13"/>
        <v>11330.609027746008</v>
      </c>
      <c r="O67" s="94"/>
      <c r="P67" s="53">
        <v>2038</v>
      </c>
      <c r="Q67" s="2">
        <f t="shared" si="18"/>
        <v>11330.609027746008</v>
      </c>
      <c r="R67" s="2">
        <v>0</v>
      </c>
      <c r="S67" s="2">
        <f t="shared" si="14"/>
        <v>11330.609027746008</v>
      </c>
      <c r="V67" s="94"/>
      <c r="W67" s="53">
        <v>2038</v>
      </c>
      <c r="X67" s="2">
        <f t="shared" si="19"/>
        <v>11330.609027746008</v>
      </c>
      <c r="Y67" s="2">
        <v>0</v>
      </c>
      <c r="Z67" s="2">
        <f t="shared" si="15"/>
        <v>11330.609027746008</v>
      </c>
    </row>
    <row r="68" spans="1:27" x14ac:dyDescent="0.25">
      <c r="A68" s="94"/>
      <c r="B68" s="53">
        <v>2039</v>
      </c>
      <c r="C68" s="2">
        <f t="shared" si="16"/>
        <v>11330.609027746008</v>
      </c>
      <c r="D68" s="2">
        <v>0</v>
      </c>
      <c r="E68" s="2">
        <f t="shared" si="12"/>
        <v>11330.609027746008</v>
      </c>
      <c r="H68" s="94"/>
      <c r="I68" s="53">
        <v>2039</v>
      </c>
      <c r="J68" s="2">
        <f t="shared" si="17"/>
        <v>11330.609027746008</v>
      </c>
      <c r="K68" s="2">
        <v>0</v>
      </c>
      <c r="L68" s="2">
        <f t="shared" si="13"/>
        <v>11330.609027746008</v>
      </c>
      <c r="O68" s="94"/>
      <c r="P68" s="53">
        <v>2039</v>
      </c>
      <c r="Q68" s="2">
        <f t="shared" si="18"/>
        <v>11330.609027746008</v>
      </c>
      <c r="R68" s="2">
        <v>0</v>
      </c>
      <c r="S68" s="2">
        <f t="shared" si="14"/>
        <v>11330.609027746008</v>
      </c>
      <c r="V68" s="94"/>
      <c r="W68" s="53">
        <v>2039</v>
      </c>
      <c r="X68" s="2">
        <f t="shared" si="19"/>
        <v>11330.609027746008</v>
      </c>
      <c r="Y68" s="2">
        <v>0</v>
      </c>
      <c r="Z68" s="2">
        <f t="shared" si="15"/>
        <v>11330.609027746008</v>
      </c>
    </row>
    <row r="69" spans="1:27" x14ac:dyDescent="0.25">
      <c r="A69" s="94"/>
      <c r="B69" s="53">
        <v>2040</v>
      </c>
      <c r="C69" s="2">
        <f t="shared" si="16"/>
        <v>11330.609027746008</v>
      </c>
      <c r="D69" s="2">
        <v>0</v>
      </c>
      <c r="E69" s="2">
        <f t="shared" si="12"/>
        <v>11330.609027746008</v>
      </c>
      <c r="H69" s="94"/>
      <c r="I69" s="53">
        <v>2040</v>
      </c>
      <c r="J69" s="2">
        <f t="shared" si="17"/>
        <v>11330.609027746008</v>
      </c>
      <c r="K69" s="2">
        <v>0</v>
      </c>
      <c r="L69" s="2">
        <f t="shared" si="13"/>
        <v>11330.609027746008</v>
      </c>
      <c r="O69" s="94"/>
      <c r="P69" s="53">
        <v>2040</v>
      </c>
      <c r="Q69" s="2">
        <f t="shared" si="18"/>
        <v>11330.609027746008</v>
      </c>
      <c r="R69" s="2">
        <v>0</v>
      </c>
      <c r="S69" s="2">
        <f t="shared" si="14"/>
        <v>11330.609027746008</v>
      </c>
      <c r="V69" s="94"/>
      <c r="W69" s="53">
        <v>2040</v>
      </c>
      <c r="X69" s="2">
        <f t="shared" si="19"/>
        <v>11330.609027746008</v>
      </c>
      <c r="Y69" s="2">
        <v>0</v>
      </c>
      <c r="Z69" s="2">
        <f t="shared" si="15"/>
        <v>11330.609027746008</v>
      </c>
    </row>
    <row r="70" spans="1:27" x14ac:dyDescent="0.25">
      <c r="A70" s="94"/>
      <c r="B70" s="53" t="s">
        <v>44</v>
      </c>
      <c r="C70" s="2">
        <f>-PV($B$2,($B$4-(B69+1-Snowylink_Year)),C69,,0)</f>
        <v>142203.19430552874</v>
      </c>
      <c r="D70" s="2">
        <v>0</v>
      </c>
      <c r="E70" s="2">
        <f>-PV($B$2,($B$4-(B69+1-Snowylink_Year)),E69,,0)</f>
        <v>142203.19430552874</v>
      </c>
      <c r="H70" s="94"/>
      <c r="I70" s="53" t="s">
        <v>44</v>
      </c>
      <c r="J70" s="2">
        <f>-PV($B$2,($B$4-(I69+1-Snowylink_Year)),J69,,0)</f>
        <v>142203.19430552874</v>
      </c>
      <c r="K70" s="2">
        <v>0</v>
      </c>
      <c r="L70" s="2">
        <f>-PV($B$2,($B$4-(I69+1-Snowylink_Year)),L69,,0)</f>
        <v>142203.19430552874</v>
      </c>
      <c r="O70" s="94"/>
      <c r="P70" s="53" t="s">
        <v>44</v>
      </c>
      <c r="Q70" s="2">
        <f>-PV($B$2,($B$4-(P69+1-Snowylink_Year)),Q69,,0)</f>
        <v>142203.19430552874</v>
      </c>
      <c r="R70" s="2">
        <v>0</v>
      </c>
      <c r="S70" s="2">
        <f>-PV($B$2,($B$4-(P69+1-Snowylink_Year)),S69,,0)</f>
        <v>142203.19430552874</v>
      </c>
      <c r="V70" s="94"/>
      <c r="W70" s="53" t="s">
        <v>44</v>
      </c>
      <c r="X70" s="2">
        <f>-PV($B$2,($B$4-(W69+1-Snowylink_Year)),X69,,0)</f>
        <v>142203.19430552874</v>
      </c>
      <c r="Y70" s="2">
        <v>0</v>
      </c>
      <c r="Z70" s="2">
        <f>-PV($B$2,($B$4-(W69+1-Snowylink_Year)),Z69,,0)</f>
        <v>142203.19430552874</v>
      </c>
    </row>
    <row r="71" spans="1:27" x14ac:dyDescent="0.25">
      <c r="A71" s="41"/>
      <c r="B71" s="65"/>
      <c r="C71" s="4"/>
      <c r="D71" s="4"/>
      <c r="E71" s="4"/>
      <c r="H71" s="41"/>
      <c r="I71" s="65"/>
      <c r="J71" s="4"/>
      <c r="K71" s="4"/>
      <c r="L71" s="4"/>
      <c r="O71" s="41"/>
      <c r="P71" s="65"/>
      <c r="Q71" s="4"/>
      <c r="R71" s="4"/>
      <c r="S71" s="4"/>
      <c r="V71" s="41"/>
      <c r="W71" s="65"/>
      <c r="X71" s="4"/>
      <c r="Y71" s="4"/>
      <c r="Z71" s="4"/>
    </row>
    <row r="72" spans="1:27" x14ac:dyDescent="0.25">
      <c r="A72" s="73" t="s">
        <v>64</v>
      </c>
      <c r="B72" s="65"/>
      <c r="C72" s="4"/>
      <c r="D72" s="4"/>
      <c r="E72" s="4"/>
      <c r="H72" s="73"/>
      <c r="I72" s="65"/>
      <c r="J72" s="4"/>
      <c r="K72" s="4"/>
      <c r="L72" s="4"/>
      <c r="O72" s="73"/>
      <c r="P72" s="65"/>
      <c r="Q72" s="4"/>
      <c r="R72" s="4"/>
      <c r="S72" s="4"/>
      <c r="V72" s="73"/>
      <c r="W72" s="65"/>
      <c r="X72" s="4"/>
      <c r="Y72" s="4"/>
      <c r="Z72" s="4"/>
    </row>
    <row r="73" spans="1:27" x14ac:dyDescent="0.25">
      <c r="A73" s="46" t="s">
        <v>9</v>
      </c>
      <c r="B73" s="46"/>
      <c r="C73" s="75">
        <f>NPV($B$2,C75:C88)</f>
        <v>339787.0709082773</v>
      </c>
      <c r="H73" s="46" t="s">
        <v>89</v>
      </c>
      <c r="I73" s="46"/>
      <c r="J73" s="75">
        <f>NPV($B$2,J75:J88)</f>
        <v>237456.09115803623</v>
      </c>
      <c r="L73" s="39"/>
      <c r="O73" s="46" t="s">
        <v>20</v>
      </c>
      <c r="P73" s="46"/>
      <c r="Q73" s="75">
        <f>NPV($B$2,Q75:Q88)</f>
        <v>257434.497721361</v>
      </c>
      <c r="S73" s="39"/>
      <c r="V73" s="46" t="s">
        <v>21</v>
      </c>
      <c r="W73" s="46"/>
      <c r="X73" s="75">
        <f>NPV($B$2,X75:X88)</f>
        <v>357640.7046508558</v>
      </c>
      <c r="Z73" s="39"/>
    </row>
    <row r="74" spans="1:27" x14ac:dyDescent="0.25">
      <c r="A74" s="13" t="s">
        <v>0</v>
      </c>
      <c r="B74" s="13" t="s">
        <v>1</v>
      </c>
      <c r="C74" s="13" t="s">
        <v>4</v>
      </c>
      <c r="D74" s="83"/>
      <c r="E74" s="83"/>
      <c r="F74" s="83"/>
      <c r="H74" s="13" t="s">
        <v>0</v>
      </c>
      <c r="I74" s="13" t="s">
        <v>1</v>
      </c>
      <c r="J74" s="13" t="s">
        <v>4</v>
      </c>
      <c r="K74" s="83"/>
      <c r="L74" s="65"/>
      <c r="M74" s="83"/>
      <c r="O74" s="13" t="s">
        <v>0</v>
      </c>
      <c r="P74" s="13" t="s">
        <v>1</v>
      </c>
      <c r="Q74" s="13" t="s">
        <v>4</v>
      </c>
      <c r="R74" s="83"/>
      <c r="S74" s="65"/>
      <c r="T74" s="83"/>
      <c r="V74" s="13" t="s">
        <v>0</v>
      </c>
      <c r="W74" s="13" t="s">
        <v>1</v>
      </c>
      <c r="X74" s="13" t="s">
        <v>4</v>
      </c>
      <c r="Y74" s="83"/>
      <c r="Z74" s="65"/>
      <c r="AA74" s="83"/>
    </row>
    <row r="75" spans="1:27" x14ac:dyDescent="0.25">
      <c r="A75" s="93" t="s">
        <v>10</v>
      </c>
      <c r="B75" s="53">
        <v>2020</v>
      </c>
      <c r="C75" s="2">
        <v>-3818.2206315519807</v>
      </c>
      <c r="D75" s="66"/>
      <c r="E75" s="66"/>
      <c r="F75" s="66"/>
      <c r="H75" s="94" t="s">
        <v>10</v>
      </c>
      <c r="I75" s="53">
        <v>2020</v>
      </c>
      <c r="J75" s="2">
        <v>-3852.208726500578</v>
      </c>
      <c r="K75" s="66"/>
      <c r="L75" s="4"/>
      <c r="M75" s="66"/>
      <c r="O75" s="94" t="s">
        <v>10</v>
      </c>
      <c r="P75" s="53">
        <v>2020</v>
      </c>
      <c r="Q75" s="2">
        <v>-177.59276688371983</v>
      </c>
      <c r="R75" s="66"/>
      <c r="S75" s="4"/>
      <c r="T75" s="66"/>
      <c r="V75" s="94" t="s">
        <v>10</v>
      </c>
      <c r="W75" s="53">
        <v>2020</v>
      </c>
      <c r="X75" s="2">
        <v>0</v>
      </c>
      <c r="Y75" s="66"/>
      <c r="Z75" s="4"/>
      <c r="AA75" s="66"/>
    </row>
    <row r="76" spans="1:27" x14ac:dyDescent="0.25">
      <c r="A76" s="93"/>
      <c r="B76" s="53">
        <v>2021</v>
      </c>
      <c r="C76" s="2">
        <v>21353.461754340686</v>
      </c>
      <c r="D76" s="48"/>
      <c r="E76" s="48"/>
      <c r="F76" s="48"/>
      <c r="H76" s="94"/>
      <c r="I76" s="53">
        <v>2021</v>
      </c>
      <c r="J76" s="2">
        <v>21319.47365939209</v>
      </c>
      <c r="K76" s="48"/>
      <c r="L76" s="4"/>
      <c r="M76" s="48"/>
      <c r="O76" s="94"/>
      <c r="P76" s="53">
        <v>2021</v>
      </c>
      <c r="Q76" s="2">
        <v>25126.678680963665</v>
      </c>
      <c r="R76" s="48"/>
      <c r="S76" s="4"/>
      <c r="T76" s="48"/>
      <c r="V76" s="94"/>
      <c r="W76" s="53">
        <v>2021</v>
      </c>
      <c r="X76" s="2">
        <v>24249.661438277712</v>
      </c>
      <c r="Y76" s="48"/>
      <c r="Z76" s="4"/>
      <c r="AA76" s="48"/>
    </row>
    <row r="77" spans="1:27" x14ac:dyDescent="0.25">
      <c r="A77" s="93"/>
      <c r="B77" s="53">
        <v>2022</v>
      </c>
      <c r="C77" s="2">
        <v>39107.430227171906</v>
      </c>
      <c r="D77" s="48"/>
      <c r="E77" s="48"/>
      <c r="F77" s="48"/>
      <c r="H77" s="94"/>
      <c r="I77" s="53">
        <v>2022</v>
      </c>
      <c r="J77" s="2">
        <v>39073.442132223303</v>
      </c>
      <c r="K77" s="48"/>
      <c r="L77" s="4"/>
      <c r="M77" s="48"/>
      <c r="O77" s="94"/>
      <c r="P77" s="53">
        <v>2022</v>
      </c>
      <c r="Q77" s="2">
        <v>42991.359361449722</v>
      </c>
      <c r="R77" s="48"/>
      <c r="S77" s="4"/>
      <c r="T77" s="48"/>
      <c r="V77" s="94"/>
      <c r="W77" s="53">
        <v>2022</v>
      </c>
      <c r="X77" s="2">
        <v>41444.950231151808</v>
      </c>
      <c r="Y77" s="48"/>
      <c r="Z77" s="4"/>
      <c r="AA77" s="48"/>
    </row>
    <row r="78" spans="1:27" x14ac:dyDescent="0.25">
      <c r="A78" s="93"/>
      <c r="B78" s="53">
        <v>2023</v>
      </c>
      <c r="C78" s="2">
        <v>92916.99229363905</v>
      </c>
      <c r="D78" s="81"/>
      <c r="E78" s="81"/>
      <c r="F78" s="81"/>
      <c r="H78" s="94"/>
      <c r="I78" s="53">
        <v>2023</v>
      </c>
      <c r="J78" s="2">
        <v>88419.825173756981</v>
      </c>
      <c r="K78" s="81"/>
      <c r="L78" s="4"/>
      <c r="M78" s="81"/>
      <c r="O78" s="94"/>
      <c r="P78" s="53">
        <v>2023</v>
      </c>
      <c r="Q78" s="2">
        <v>80182.7211054457</v>
      </c>
      <c r="R78" s="81"/>
      <c r="S78" s="4"/>
      <c r="T78" s="81"/>
      <c r="V78" s="94"/>
      <c r="W78" s="53">
        <v>2023</v>
      </c>
      <c r="X78" s="2">
        <v>124644.20390669949</v>
      </c>
      <c r="Y78" s="81"/>
      <c r="Z78" s="4"/>
      <c r="AA78" s="81"/>
    </row>
    <row r="79" spans="1:27" x14ac:dyDescent="0.25">
      <c r="A79" s="93"/>
      <c r="B79" s="53">
        <v>2024</v>
      </c>
      <c r="C79" s="2">
        <v>9899.760168110106</v>
      </c>
      <c r="H79" s="94"/>
      <c r="I79" s="53">
        <v>2024</v>
      </c>
      <c r="J79" s="2">
        <v>6563.5111364296108</v>
      </c>
      <c r="L79" s="4"/>
      <c r="O79" s="94"/>
      <c r="P79" s="53">
        <v>2024</v>
      </c>
      <c r="Q79" s="2">
        <v>-14810.307186628052</v>
      </c>
      <c r="S79" s="4"/>
      <c r="V79" s="94"/>
      <c r="W79" s="53">
        <v>2024</v>
      </c>
      <c r="X79" s="2">
        <v>39111.216127469103</v>
      </c>
      <c r="Z79" s="4"/>
    </row>
    <row r="80" spans="1:27" x14ac:dyDescent="0.25">
      <c r="A80" s="93"/>
      <c r="B80" s="53">
        <v>2025</v>
      </c>
      <c r="C80" s="2">
        <v>59306.780322415536</v>
      </c>
      <c r="H80" s="94"/>
      <c r="I80" s="53">
        <v>2025</v>
      </c>
      <c r="J80" s="2">
        <v>16361.8044495513</v>
      </c>
      <c r="L80" s="4"/>
      <c r="O80" s="94"/>
      <c r="P80" s="53">
        <v>2025</v>
      </c>
      <c r="Q80" s="2">
        <v>24191.422278981805</v>
      </c>
      <c r="S80" s="4"/>
      <c r="V80" s="94"/>
      <c r="W80" s="53">
        <v>2025</v>
      </c>
      <c r="X80" s="2">
        <v>39111.216127469219</v>
      </c>
      <c r="Z80" s="4"/>
    </row>
    <row r="81" spans="1:27" x14ac:dyDescent="0.25">
      <c r="A81" s="93"/>
      <c r="B81" s="53">
        <v>2026</v>
      </c>
      <c r="C81" s="2">
        <v>50405.493790375433</v>
      </c>
      <c r="H81" s="94"/>
      <c r="I81" s="53">
        <v>2026</v>
      </c>
      <c r="J81" s="2">
        <v>16361.804449551073</v>
      </c>
      <c r="L81" s="4"/>
      <c r="O81" s="94"/>
      <c r="P81" s="53">
        <v>2026</v>
      </c>
      <c r="Q81" s="2">
        <v>31521.591996036932</v>
      </c>
      <c r="S81" s="4"/>
      <c r="V81" s="94"/>
      <c r="W81" s="53">
        <v>2026</v>
      </c>
      <c r="X81" s="2">
        <v>39111.216127469103</v>
      </c>
      <c r="Z81" s="4"/>
    </row>
    <row r="82" spans="1:27" x14ac:dyDescent="0.25">
      <c r="A82" s="93"/>
      <c r="B82" s="53">
        <v>2027</v>
      </c>
      <c r="C82" s="2">
        <v>50435.62743414077</v>
      </c>
      <c r="H82" s="94"/>
      <c r="I82" s="53">
        <v>2027</v>
      </c>
      <c r="J82" s="2">
        <v>22132.370013628817</v>
      </c>
      <c r="L82" s="4"/>
      <c r="O82" s="94"/>
      <c r="P82" s="53">
        <v>2027</v>
      </c>
      <c r="Q82" s="2">
        <v>31656.610285147734</v>
      </c>
      <c r="S82" s="4"/>
      <c r="V82" s="94"/>
      <c r="W82" s="53">
        <v>2027</v>
      </c>
      <c r="X82" s="2">
        <v>39009.848411512394</v>
      </c>
      <c r="Z82" s="4"/>
    </row>
    <row r="83" spans="1:27" x14ac:dyDescent="0.25">
      <c r="A83" s="93"/>
      <c r="B83" s="53">
        <v>2028</v>
      </c>
      <c r="C83" s="2">
        <v>50334.655582910957</v>
      </c>
      <c r="H83" s="94"/>
      <c r="I83" s="53">
        <v>2028</v>
      </c>
      <c r="J83" s="2">
        <v>22132.370013628588</v>
      </c>
      <c r="L83" s="4"/>
      <c r="O83" s="94"/>
      <c r="P83" s="53">
        <v>2028</v>
      </c>
      <c r="Q83" s="2">
        <v>31585.18459045831</v>
      </c>
      <c r="S83" s="4"/>
      <c r="V83" s="94"/>
      <c r="W83" s="53">
        <v>2028</v>
      </c>
      <c r="X83" s="2">
        <v>38233.440637101696</v>
      </c>
      <c r="Z83" s="4"/>
    </row>
    <row r="84" spans="1:27" x14ac:dyDescent="0.25">
      <c r="A84" s="93"/>
      <c r="B84" s="53">
        <v>2029</v>
      </c>
      <c r="C84" s="2">
        <v>39034.93866868507</v>
      </c>
      <c r="H84" s="94"/>
      <c r="I84" s="53">
        <v>2029</v>
      </c>
      <c r="J84" s="2">
        <v>21715.100169851896</v>
      </c>
      <c r="L84" s="4"/>
      <c r="O84" s="94"/>
      <c r="P84" s="53">
        <v>2029</v>
      </c>
      <c r="Q84" s="2">
        <v>22480.825790604285</v>
      </c>
      <c r="S84" s="4"/>
      <c r="V84" s="94"/>
      <c r="W84" s="53">
        <v>2029</v>
      </c>
      <c r="X84" s="2">
        <v>21460.429163079425</v>
      </c>
      <c r="Z84" s="4"/>
    </row>
    <row r="85" spans="1:27" x14ac:dyDescent="0.25">
      <c r="A85" s="93"/>
      <c r="B85" s="53">
        <v>2030</v>
      </c>
      <c r="C85" s="2">
        <v>18123.379407871198</v>
      </c>
      <c r="H85" s="94"/>
      <c r="I85" s="53">
        <v>2030</v>
      </c>
      <c r="J85" s="2">
        <v>18494.161635298497</v>
      </c>
      <c r="L85" s="4"/>
      <c r="O85" s="94"/>
      <c r="P85" s="53">
        <v>2030</v>
      </c>
      <c r="Q85" s="2">
        <v>20519.124685810537</v>
      </c>
      <c r="S85" s="4"/>
      <c r="V85" s="94"/>
      <c r="W85" s="53">
        <v>2030</v>
      </c>
      <c r="X85" s="2">
        <v>21354.018242052916</v>
      </c>
      <c r="Z85" s="4"/>
    </row>
    <row r="86" spans="1:27" x14ac:dyDescent="0.25">
      <c r="A86" s="93"/>
      <c r="B86" s="53">
        <v>2031</v>
      </c>
      <c r="C86" s="2">
        <v>18123.379407871198</v>
      </c>
      <c r="H86" s="94"/>
      <c r="I86" s="53">
        <v>2031</v>
      </c>
      <c r="J86" s="2">
        <v>18494.161635298497</v>
      </c>
      <c r="L86" s="4"/>
      <c r="O86" s="94"/>
      <c r="P86" s="53">
        <v>2031</v>
      </c>
      <c r="Q86" s="2">
        <v>20519.124685810537</v>
      </c>
      <c r="S86" s="4"/>
      <c r="V86" s="94"/>
      <c r="W86" s="53">
        <v>2031</v>
      </c>
      <c r="X86" s="2">
        <v>30841.660465424182</v>
      </c>
      <c r="Z86" s="4"/>
    </row>
    <row r="87" spans="1:27" x14ac:dyDescent="0.25">
      <c r="A87" s="93"/>
      <c r="B87" s="53">
        <v>2032</v>
      </c>
      <c r="C87" s="2">
        <v>18134.847663496203</v>
      </c>
      <c r="H87" s="94"/>
      <c r="I87" s="53">
        <v>2032</v>
      </c>
      <c r="J87" s="2">
        <v>20154.019531396669</v>
      </c>
      <c r="L87" s="4"/>
      <c r="O87" s="94"/>
      <c r="P87" s="53">
        <v>2032</v>
      </c>
      <c r="Q87" s="2">
        <v>23105.662846284304</v>
      </c>
      <c r="S87" s="4"/>
      <c r="V87" s="94"/>
      <c r="W87" s="53">
        <v>2032</v>
      </c>
      <c r="X87" s="2">
        <v>18293.052320706465</v>
      </c>
      <c r="Z87" s="4"/>
    </row>
    <row r="88" spans="1:27" x14ac:dyDescent="0.25">
      <c r="A88" s="93"/>
      <c r="B88" s="53" t="s">
        <v>73</v>
      </c>
      <c r="C88" s="2">
        <v>56366.804993421967</v>
      </c>
      <c r="H88" s="94"/>
      <c r="I88" s="53" t="s">
        <v>73</v>
      </c>
      <c r="J88" s="2">
        <v>55295.932854706734</v>
      </c>
      <c r="L88" s="4"/>
      <c r="O88" s="94"/>
      <c r="P88" s="53" t="s">
        <v>73</v>
      </c>
      <c r="Q88" s="2">
        <v>58174.576673136246</v>
      </c>
      <c r="S88" s="4"/>
      <c r="V88" s="94"/>
      <c r="W88" s="53" t="s">
        <v>73</v>
      </c>
      <c r="X88" s="2">
        <v>57607.021068159156</v>
      </c>
      <c r="Z88" s="4"/>
    </row>
    <row r="89" spans="1:27" x14ac:dyDescent="0.25">
      <c r="A89" s="41"/>
      <c r="B89" s="65"/>
      <c r="C89" s="4"/>
      <c r="D89" s="4"/>
      <c r="E89" s="4"/>
      <c r="H89" s="41"/>
      <c r="I89" s="65"/>
      <c r="J89" s="4"/>
      <c r="K89" s="4"/>
      <c r="L89" s="4"/>
      <c r="O89" s="41"/>
      <c r="P89" s="65"/>
      <c r="Q89" s="4"/>
      <c r="R89" s="4"/>
      <c r="S89" s="4"/>
      <c r="V89" s="41"/>
      <c r="W89" s="65"/>
      <c r="X89" s="4"/>
      <c r="Y89" s="4"/>
      <c r="Z89" s="4"/>
    </row>
    <row r="90" spans="1:27" x14ac:dyDescent="0.25">
      <c r="A90" s="62" t="s">
        <v>25</v>
      </c>
    </row>
    <row r="91" spans="1:27" x14ac:dyDescent="0.25">
      <c r="A91" s="46" t="s">
        <v>9</v>
      </c>
      <c r="B91" s="46"/>
      <c r="C91" s="46"/>
      <c r="D91" s="46"/>
      <c r="E91" s="46"/>
      <c r="F91" s="53"/>
      <c r="H91" s="46" t="s">
        <v>89</v>
      </c>
      <c r="I91" s="46"/>
      <c r="J91" s="46"/>
      <c r="K91" s="46"/>
      <c r="L91" s="46"/>
      <c r="M91" s="53"/>
      <c r="N91" s="65"/>
      <c r="O91" s="46" t="s">
        <v>20</v>
      </c>
      <c r="P91" s="46"/>
      <c r="Q91" s="46"/>
      <c r="R91" s="46"/>
      <c r="S91" s="46"/>
      <c r="T91" s="53"/>
      <c r="V91" s="46" t="s">
        <v>21</v>
      </c>
      <c r="W91" s="46"/>
      <c r="X91" s="46"/>
      <c r="Y91" s="46"/>
      <c r="Z91" s="46"/>
      <c r="AA91" s="53"/>
    </row>
    <row r="92" spans="1:27" x14ac:dyDescent="0.25">
      <c r="A92" s="53" t="s">
        <v>1</v>
      </c>
      <c r="B92" s="46" t="s">
        <v>2</v>
      </c>
      <c r="C92" s="46" t="s">
        <v>22</v>
      </c>
      <c r="D92" s="46" t="s">
        <v>3</v>
      </c>
      <c r="E92" s="46" t="s">
        <v>23</v>
      </c>
      <c r="F92" s="46" t="s">
        <v>24</v>
      </c>
      <c r="H92" s="53" t="s">
        <v>1</v>
      </c>
      <c r="I92" s="46" t="s">
        <v>2</v>
      </c>
      <c r="J92" s="46" t="s">
        <v>22</v>
      </c>
      <c r="K92" s="46" t="s">
        <v>3</v>
      </c>
      <c r="L92" s="46" t="s">
        <v>23</v>
      </c>
      <c r="M92" s="46" t="s">
        <v>24</v>
      </c>
      <c r="N92" s="39"/>
      <c r="O92" s="53" t="s">
        <v>1</v>
      </c>
      <c r="P92" s="46" t="s">
        <v>2</v>
      </c>
      <c r="Q92" s="46" t="s">
        <v>22</v>
      </c>
      <c r="R92" s="46" t="s">
        <v>3</v>
      </c>
      <c r="S92" s="46" t="s">
        <v>23</v>
      </c>
      <c r="T92" s="46" t="s">
        <v>24</v>
      </c>
      <c r="V92" s="53" t="s">
        <v>1</v>
      </c>
      <c r="W92" s="46" t="s">
        <v>2</v>
      </c>
      <c r="X92" s="46" t="s">
        <v>22</v>
      </c>
      <c r="Y92" s="46" t="s">
        <v>3</v>
      </c>
      <c r="Z92" s="46" t="s">
        <v>23</v>
      </c>
      <c r="AA92" s="46" t="s">
        <v>24</v>
      </c>
    </row>
    <row r="93" spans="1:27" x14ac:dyDescent="0.25">
      <c r="A93" s="53">
        <v>2020</v>
      </c>
      <c r="B93" s="78">
        <v>5375.8596324427053</v>
      </c>
      <c r="C93" s="78">
        <v>1287.9707112931646</v>
      </c>
      <c r="D93" s="78">
        <v>1310.0270640563685</v>
      </c>
      <c r="E93" s="78">
        <v>-0.91339416298433207</v>
      </c>
      <c r="F93" s="78">
        <v>922.1384576598648</v>
      </c>
      <c r="H93" s="53">
        <v>2020</v>
      </c>
      <c r="I93" s="46">
        <v>4723.2798332725652</v>
      </c>
      <c r="J93" s="46">
        <v>1692.4531901914161</v>
      </c>
      <c r="K93" s="46">
        <v>1435.9217425436364</v>
      </c>
      <c r="L93" s="46">
        <v>-0.93540459366340656</v>
      </c>
      <c r="M93" s="46">
        <v>1009.7906010160805</v>
      </c>
      <c r="N93" s="39"/>
      <c r="O93" s="53">
        <v>2020</v>
      </c>
      <c r="P93" s="46">
        <v>2227.6592940855771</v>
      </c>
      <c r="Q93" s="46">
        <v>1218.5240265115863</v>
      </c>
      <c r="R93" s="46">
        <v>125.78863598720636</v>
      </c>
      <c r="S93" s="46">
        <v>2.2616267448320286</v>
      </c>
      <c r="T93" s="46">
        <v>1117.3257226425339</v>
      </c>
      <c r="V93" s="53">
        <v>2020</v>
      </c>
      <c r="W93" s="46">
        <v>4168.8010635741521</v>
      </c>
      <c r="X93" s="46">
        <v>1112.5504327064846</v>
      </c>
      <c r="Y93" s="46">
        <v>291.65350184182171</v>
      </c>
      <c r="Z93" s="46">
        <v>50.135574187086604</v>
      </c>
      <c r="AA93" s="46">
        <v>692.06985188368708</v>
      </c>
    </row>
    <row r="94" spans="1:27" x14ac:dyDescent="0.25">
      <c r="A94" s="53">
        <v>2021</v>
      </c>
      <c r="B94" s="78">
        <v>-1180.7801815869752</v>
      </c>
      <c r="C94" s="78">
        <v>-1371.1249904173892</v>
      </c>
      <c r="D94" s="78">
        <v>448.40668142942013</v>
      </c>
      <c r="E94" s="78">
        <v>-1.3545277685479959</v>
      </c>
      <c r="F94" s="78">
        <v>335.93593358638464</v>
      </c>
      <c r="H94" s="53">
        <v>2021</v>
      </c>
      <c r="I94" s="53">
        <v>-1291.1538628856651</v>
      </c>
      <c r="J94" s="53">
        <v>-891.41432308522053</v>
      </c>
      <c r="K94" s="53">
        <v>396.62553708354244</v>
      </c>
      <c r="L94" s="53">
        <v>0.37740272901282879</v>
      </c>
      <c r="M94" s="53">
        <v>350.009633412119</v>
      </c>
      <c r="N94" s="65"/>
      <c r="O94" s="53">
        <v>2021</v>
      </c>
      <c r="P94" s="53">
        <v>-2473.4933358526323</v>
      </c>
      <c r="Q94" s="53">
        <v>-865.41466699237935</v>
      </c>
      <c r="R94" s="53">
        <v>-191.18162016448332</v>
      </c>
      <c r="S94" s="53">
        <v>-1.7999455946555827</v>
      </c>
      <c r="T94" s="53">
        <v>322.43530639010714</v>
      </c>
      <c r="V94" s="53">
        <v>2021</v>
      </c>
      <c r="W94" s="53">
        <v>-2532.3705428445246</v>
      </c>
      <c r="X94" s="53">
        <v>-928.61525338003412</v>
      </c>
      <c r="Y94" s="53">
        <v>-935.53770850546425</v>
      </c>
      <c r="Z94" s="53">
        <v>-30.938484511018032</v>
      </c>
      <c r="AA94" s="53">
        <v>-420.75857785489643</v>
      </c>
    </row>
    <row r="95" spans="1:27" x14ac:dyDescent="0.25">
      <c r="A95" s="53">
        <v>2022</v>
      </c>
      <c r="B95" s="79">
        <v>-5501.0639238753356</v>
      </c>
      <c r="C95" s="79">
        <v>-1808.5362388386857</v>
      </c>
      <c r="D95" s="79">
        <v>-1623.1959653861704</v>
      </c>
      <c r="E95" s="79">
        <v>3.6583289672489627</v>
      </c>
      <c r="F95" s="79">
        <v>-367.07437812065473</v>
      </c>
      <c r="H95" s="53">
        <v>2022</v>
      </c>
      <c r="I95" s="53">
        <v>-4934.1526317179669</v>
      </c>
      <c r="J95" s="53">
        <v>-2064.4745567555074</v>
      </c>
      <c r="K95" s="53">
        <v>-2066.9511893609306</v>
      </c>
      <c r="L95" s="53">
        <v>4.0591872267614235</v>
      </c>
      <c r="M95" s="53">
        <v>-284.66584804496961</v>
      </c>
      <c r="N95" s="39"/>
      <c r="O95" s="53">
        <v>2022</v>
      </c>
      <c r="P95" s="53">
        <v>-5224.9197198906913</v>
      </c>
      <c r="Q95" s="53">
        <v>-1980.9866720222635</v>
      </c>
      <c r="R95" s="53">
        <v>-546.88890898652608</v>
      </c>
      <c r="S95" s="53">
        <v>-5.0903233847857337</v>
      </c>
      <c r="T95" s="53">
        <v>536.45959965395741</v>
      </c>
      <c r="V95" s="53">
        <v>2022</v>
      </c>
      <c r="W95" s="53">
        <v>-9314.0660965770949</v>
      </c>
      <c r="X95" s="53">
        <v>-2822.9944740610663</v>
      </c>
      <c r="Y95" s="53">
        <v>-14512.778834645869</v>
      </c>
      <c r="Z95" s="53">
        <v>656.70766323663702</v>
      </c>
      <c r="AA95" s="53">
        <v>-2446.1612139919889</v>
      </c>
    </row>
    <row r="96" spans="1:27" x14ac:dyDescent="0.25">
      <c r="A96" s="53">
        <v>2023</v>
      </c>
      <c r="B96" s="78">
        <v>-16620.433634210844</v>
      </c>
      <c r="C96" s="78">
        <v>-16896.270119010704</v>
      </c>
      <c r="D96" s="78">
        <v>-5924.9503042289289</v>
      </c>
      <c r="E96" s="78">
        <v>4.5135994157972164</v>
      </c>
      <c r="F96" s="78">
        <v>-6882.1945493287058</v>
      </c>
      <c r="H96" s="53">
        <v>2023</v>
      </c>
      <c r="I96" s="53">
        <v>-16265.964067047928</v>
      </c>
      <c r="J96" s="53">
        <v>-15319.519370258786</v>
      </c>
      <c r="K96" s="53">
        <v>-5625.2127669882029</v>
      </c>
      <c r="L96" s="53">
        <v>2.7660160745799658</v>
      </c>
      <c r="M96" s="53">
        <v>-6482.8063805510756</v>
      </c>
      <c r="N96" s="39"/>
      <c r="O96" s="53">
        <v>2023</v>
      </c>
      <c r="P96" s="53">
        <v>3580.113772258861</v>
      </c>
      <c r="Q96" s="53">
        <v>-1872.0648720009485</v>
      </c>
      <c r="R96" s="53">
        <v>-589.94824872602476</v>
      </c>
      <c r="S96" s="53">
        <v>-20.203385125118075</v>
      </c>
      <c r="T96" s="53">
        <v>-7312.4612072536838</v>
      </c>
      <c r="V96" s="53">
        <v>2023</v>
      </c>
      <c r="W96" s="53">
        <v>-27872.785319529474</v>
      </c>
      <c r="X96" s="53">
        <v>-16751.170342201367</v>
      </c>
      <c r="Y96" s="53">
        <v>-34187.722614046652</v>
      </c>
      <c r="Z96" s="53">
        <v>-26805.18234907552</v>
      </c>
      <c r="AA96" s="53">
        <v>-13969.056871116802</v>
      </c>
    </row>
    <row r="97" spans="1:27" x14ac:dyDescent="0.25">
      <c r="A97" s="53">
        <v>2024</v>
      </c>
      <c r="B97" s="79">
        <v>5214.3252314412966</v>
      </c>
      <c r="C97" s="79">
        <v>1862.3299058822449</v>
      </c>
      <c r="D97" s="79">
        <v>-26.187657569069415</v>
      </c>
      <c r="E97" s="79">
        <v>7.802751001836441</v>
      </c>
      <c r="F97" s="79">
        <v>120.57740773400292</v>
      </c>
      <c r="H97" s="53">
        <v>2024</v>
      </c>
      <c r="I97" s="53">
        <v>5625.5901811767835</v>
      </c>
      <c r="J97" s="53">
        <v>3096.9474945038091</v>
      </c>
      <c r="K97" s="53">
        <v>299.23245290946215</v>
      </c>
      <c r="L97" s="53">
        <v>8.3266013212269172</v>
      </c>
      <c r="M97" s="53">
        <v>57.930665558844339</v>
      </c>
      <c r="N97" s="39"/>
      <c r="O97" s="53">
        <v>2024</v>
      </c>
      <c r="P97" s="53">
        <v>14230.113162843743</v>
      </c>
      <c r="Q97" s="53">
        <v>1803.373096558149</v>
      </c>
      <c r="R97" s="53">
        <v>136.75930783594958</v>
      </c>
      <c r="S97" s="53">
        <v>-15.268118080792192</v>
      </c>
      <c r="T97" s="53">
        <v>982.76411918905796</v>
      </c>
      <c r="V97" s="53">
        <v>2024</v>
      </c>
      <c r="W97" s="53">
        <v>-4478.3748786719516</v>
      </c>
      <c r="X97" s="53">
        <v>-2911.2186289811507</v>
      </c>
      <c r="Y97" s="53">
        <v>-6348.1820988964173</v>
      </c>
      <c r="Z97" s="53">
        <v>386.76286374079791</v>
      </c>
      <c r="AA97" s="53">
        <v>-1123.0708018796286</v>
      </c>
    </row>
    <row r="98" spans="1:27" x14ac:dyDescent="0.25">
      <c r="A98" s="53">
        <v>2025</v>
      </c>
      <c r="B98" s="78">
        <v>-8318.0164137352258</v>
      </c>
      <c r="C98" s="78">
        <v>-6250.9903596332297</v>
      </c>
      <c r="D98" s="78">
        <v>-2076.2543885172636</v>
      </c>
      <c r="E98" s="78">
        <v>-4.7921630267519504</v>
      </c>
      <c r="F98" s="78">
        <v>-2015.5322920720209</v>
      </c>
      <c r="H98" s="53">
        <v>2025</v>
      </c>
      <c r="I98" s="53">
        <v>7034.0843420019373</v>
      </c>
      <c r="J98" s="53">
        <v>3038.5968181740027</v>
      </c>
      <c r="K98" s="53">
        <v>255.4611082938427</v>
      </c>
      <c r="L98" s="53">
        <v>0.12287148276664084</v>
      </c>
      <c r="M98" s="53">
        <v>-322.3487221710966</v>
      </c>
      <c r="N98" s="39"/>
      <c r="O98" s="53">
        <v>2025</v>
      </c>
      <c r="P98" s="53">
        <v>5435.6574762485689</v>
      </c>
      <c r="Q98" s="53">
        <v>1467.0423588486155</v>
      </c>
      <c r="R98" s="53">
        <v>142.98901683356962</v>
      </c>
      <c r="S98" s="53">
        <v>-40.019151098771545</v>
      </c>
      <c r="T98" s="53">
        <v>-556.12991320685251</v>
      </c>
      <c r="V98" s="53">
        <v>2025</v>
      </c>
      <c r="W98" s="53">
        <v>-5729.2573121557944</v>
      </c>
      <c r="X98" s="53">
        <v>-1339.4160997797735</v>
      </c>
      <c r="Y98" s="53">
        <v>-1894.5685115275555</v>
      </c>
      <c r="Z98" s="53">
        <v>-1907.9790364057699</v>
      </c>
      <c r="AA98" s="53">
        <v>-3084.8431037127157</v>
      </c>
    </row>
    <row r="99" spans="1:27" x14ac:dyDescent="0.25">
      <c r="A99" s="53">
        <v>2026</v>
      </c>
      <c r="B99" s="79">
        <v>-2775.3768727593124</v>
      </c>
      <c r="C99" s="79">
        <v>-3890.9658516144846</v>
      </c>
      <c r="D99" s="79">
        <v>-1732.1848279524929</v>
      </c>
      <c r="E99" s="79">
        <v>14.742500790627673</v>
      </c>
      <c r="F99" s="79">
        <v>-1722.491938999563</v>
      </c>
      <c r="H99" s="53">
        <v>2026</v>
      </c>
      <c r="I99" s="53">
        <v>7123.8133033413906</v>
      </c>
      <c r="J99" s="53">
        <v>3193.6079145479016</v>
      </c>
      <c r="K99" s="53">
        <v>461.59490166086471</v>
      </c>
      <c r="L99" s="53">
        <v>4.0631112703704275</v>
      </c>
      <c r="M99" s="53">
        <v>-857.91302489262307</v>
      </c>
      <c r="N99" s="39"/>
      <c r="O99" s="53">
        <v>2026</v>
      </c>
      <c r="P99" s="53">
        <v>1161.7103131989716</v>
      </c>
      <c r="Q99" s="53">
        <v>427.4401790513657</v>
      </c>
      <c r="R99" s="53">
        <v>-86.815632165007628</v>
      </c>
      <c r="S99" s="53">
        <v>7.9825330416060751</v>
      </c>
      <c r="T99" s="53">
        <v>-159.37344229186419</v>
      </c>
      <c r="V99" s="53">
        <v>2026</v>
      </c>
      <c r="W99" s="53">
        <v>1221.8037676564418</v>
      </c>
      <c r="X99" s="53">
        <v>-641.94139271904714</v>
      </c>
      <c r="Y99" s="53">
        <v>-1277.895438924199</v>
      </c>
      <c r="Z99" s="53">
        <v>-14.358861528642592</v>
      </c>
      <c r="AA99" s="53">
        <v>-7917.1969387815916</v>
      </c>
    </row>
    <row r="100" spans="1:27" x14ac:dyDescent="0.25">
      <c r="A100" s="53">
        <v>2027</v>
      </c>
      <c r="B100" s="78">
        <v>-2558.47412108141</v>
      </c>
      <c r="C100" s="78">
        <v>-3247.9715742499102</v>
      </c>
      <c r="D100" s="78">
        <v>492.91634298197459</v>
      </c>
      <c r="E100" s="78">
        <v>-4.4335828346811468</v>
      </c>
      <c r="F100" s="78">
        <v>-1823.3808378378744</v>
      </c>
      <c r="H100" s="53">
        <v>2027</v>
      </c>
      <c r="I100" s="53">
        <v>6124.185600931989</v>
      </c>
      <c r="J100" s="53">
        <v>1343.0990496026352</v>
      </c>
      <c r="K100" s="53">
        <v>-362.12152642069123</v>
      </c>
      <c r="L100" s="53">
        <v>-11.779451850699843</v>
      </c>
      <c r="M100" s="53">
        <v>-973.47611272899667</v>
      </c>
      <c r="N100" s="39"/>
      <c r="O100" s="53">
        <v>2027</v>
      </c>
      <c r="P100" s="53">
        <v>1361.1781557949726</v>
      </c>
      <c r="Q100" s="53">
        <v>1267.8823215917218</v>
      </c>
      <c r="R100" s="53">
        <v>253.08035424724221</v>
      </c>
      <c r="S100" s="53">
        <v>-3.8168492777476786</v>
      </c>
      <c r="T100" s="53">
        <v>-397.26783462712774</v>
      </c>
      <c r="V100" s="53">
        <v>2027</v>
      </c>
      <c r="W100" s="53">
        <v>-3933.2448988978285</v>
      </c>
      <c r="X100" s="53">
        <v>133.95622746436857</v>
      </c>
      <c r="Y100" s="53">
        <v>-2075.958086172177</v>
      </c>
      <c r="Z100" s="53">
        <v>1555.1975956365786</v>
      </c>
      <c r="AA100" s="53">
        <v>-3687.4630300054559</v>
      </c>
    </row>
    <row r="101" spans="1:27" x14ac:dyDescent="0.25">
      <c r="A101" s="53">
        <v>2028</v>
      </c>
      <c r="B101" s="79">
        <v>-1966.3920719923917</v>
      </c>
      <c r="C101" s="79">
        <v>-4343.8741167874541</v>
      </c>
      <c r="D101" s="79">
        <v>-95.241010606121563</v>
      </c>
      <c r="E101" s="79">
        <v>0.19947463454445824</v>
      </c>
      <c r="F101" s="79">
        <v>-1985.6874338865746</v>
      </c>
      <c r="H101" s="53">
        <v>2028</v>
      </c>
      <c r="I101" s="53">
        <v>7464.2936681883875</v>
      </c>
      <c r="J101" s="53">
        <v>681.74845327204093</v>
      </c>
      <c r="K101" s="53">
        <v>-512.82097971202893</v>
      </c>
      <c r="L101" s="53">
        <v>4.7214551763318013E-2</v>
      </c>
      <c r="M101" s="53">
        <v>-1499.7033760393388</v>
      </c>
      <c r="N101" s="39"/>
      <c r="O101" s="53">
        <v>2028</v>
      </c>
      <c r="P101" s="53">
        <v>-23.843309734365903</v>
      </c>
      <c r="Q101" s="53">
        <v>1505.425865215715</v>
      </c>
      <c r="R101" s="53">
        <v>159.44792934792349</v>
      </c>
      <c r="S101" s="53">
        <v>-3.4984955089457799</v>
      </c>
      <c r="T101" s="53">
        <v>-110.56755241658539</v>
      </c>
      <c r="V101" s="53">
        <v>2028</v>
      </c>
      <c r="W101" s="53">
        <v>349.88014406803995</v>
      </c>
      <c r="X101" s="53">
        <v>-820.58411241951399</v>
      </c>
      <c r="Y101" s="53">
        <v>-377.17196468025213</v>
      </c>
      <c r="Z101" s="53">
        <v>-1095.1891544280516</v>
      </c>
      <c r="AA101" s="53">
        <v>-4261.981717799441</v>
      </c>
    </row>
    <row r="102" spans="1:27" x14ac:dyDescent="0.25">
      <c r="A102" s="53">
        <v>2029</v>
      </c>
      <c r="B102" s="78">
        <v>3765.3159709956963</v>
      </c>
      <c r="C102" s="78">
        <v>1800.7271690212656</v>
      </c>
      <c r="D102" s="78">
        <v>-353.6051859013096</v>
      </c>
      <c r="E102" s="78">
        <v>-4.3777927382980124</v>
      </c>
      <c r="F102" s="78">
        <v>-2923.9780721162097</v>
      </c>
      <c r="H102" s="53">
        <v>2029</v>
      </c>
      <c r="I102" s="53">
        <v>9416.6349728673231</v>
      </c>
      <c r="J102" s="53">
        <v>-196.57541717588902</v>
      </c>
      <c r="K102" s="53">
        <v>125.21445144416066</v>
      </c>
      <c r="L102" s="53">
        <v>-4.3705344430491095</v>
      </c>
      <c r="M102" s="53">
        <v>-1446.7673260422889</v>
      </c>
      <c r="N102" s="39"/>
      <c r="O102" s="53">
        <v>2029</v>
      </c>
      <c r="P102" s="53">
        <v>3589.3882790848147</v>
      </c>
      <c r="Q102" s="53">
        <v>2279.5381523559336</v>
      </c>
      <c r="R102" s="53">
        <v>-49.932331159507157</v>
      </c>
      <c r="S102" s="53">
        <v>7.2633528251462849</v>
      </c>
      <c r="T102" s="53">
        <v>471.42949204012984</v>
      </c>
      <c r="V102" s="53">
        <v>2029</v>
      </c>
      <c r="W102" s="53">
        <v>9286.6538516543806</v>
      </c>
      <c r="X102" s="53">
        <v>2765.9777005766518</v>
      </c>
      <c r="Y102" s="53">
        <v>7158.6230511387694</v>
      </c>
      <c r="Z102" s="53">
        <v>8436.5885266091791</v>
      </c>
      <c r="AA102" s="53">
        <v>8288.8133918113308</v>
      </c>
    </row>
    <row r="103" spans="1:27" x14ac:dyDescent="0.25">
      <c r="A103" s="53">
        <v>2030</v>
      </c>
      <c r="B103" s="79">
        <v>6758.7467969057616</v>
      </c>
      <c r="C103" s="79">
        <v>1421.4161170157604</v>
      </c>
      <c r="D103" s="79">
        <v>-289.82852376946539</v>
      </c>
      <c r="E103" s="79">
        <v>-22.382707904944255</v>
      </c>
      <c r="F103" s="79">
        <v>-858.92328272602754</v>
      </c>
      <c r="H103" s="53">
        <v>2030</v>
      </c>
      <c r="I103" s="53">
        <v>6669.2513437627349</v>
      </c>
      <c r="J103" s="53">
        <v>1483.4245706971269</v>
      </c>
      <c r="K103" s="53">
        <v>-136.60200110771984</v>
      </c>
      <c r="L103" s="53">
        <v>1.4812594832765171</v>
      </c>
      <c r="M103" s="53">
        <v>-675.10986057022819</v>
      </c>
      <c r="N103" s="39"/>
      <c r="O103" s="53">
        <v>2030</v>
      </c>
      <c r="P103" s="53">
        <v>3788.9323113688733</v>
      </c>
      <c r="Q103" s="53">
        <v>1759.1556729465956</v>
      </c>
      <c r="R103" s="53">
        <v>72.787153104402023</v>
      </c>
      <c r="S103" s="53">
        <v>12.193407114980801</v>
      </c>
      <c r="T103" s="53">
        <v>525.9838401999441</v>
      </c>
      <c r="V103" s="53">
        <v>2030</v>
      </c>
      <c r="W103" s="53">
        <v>19047.452686253935</v>
      </c>
      <c r="X103" s="53">
        <v>3377.9532838417217</v>
      </c>
      <c r="Y103" s="53">
        <v>3894.2269549022312</v>
      </c>
      <c r="Z103" s="53">
        <v>6098.6319802694779</v>
      </c>
      <c r="AA103" s="53">
        <v>272.44204530364368</v>
      </c>
    </row>
    <row r="104" spans="1:27" x14ac:dyDescent="0.25">
      <c r="A104" s="53">
        <v>2031</v>
      </c>
      <c r="B104" s="78">
        <v>6821.6405833507888</v>
      </c>
      <c r="C104" s="78">
        <v>3102.6647880205419</v>
      </c>
      <c r="D104" s="78">
        <v>552.37518295363407</v>
      </c>
      <c r="E104" s="78">
        <v>21.620837535076134</v>
      </c>
      <c r="F104" s="78">
        <v>-1144.4208191907965</v>
      </c>
      <c r="H104" s="53">
        <v>2031</v>
      </c>
      <c r="I104" s="53">
        <v>10190.541499266634</v>
      </c>
      <c r="J104" s="53">
        <v>1487.2562415308785</v>
      </c>
      <c r="K104" s="53">
        <v>574.9283935593121</v>
      </c>
      <c r="L104" s="53">
        <v>-8.326037661274313</v>
      </c>
      <c r="M104" s="53">
        <v>-1749.6870647216565</v>
      </c>
      <c r="N104" s="39"/>
      <c r="O104" s="53">
        <v>2031</v>
      </c>
      <c r="P104" s="53">
        <v>3193.5132710081525</v>
      </c>
      <c r="Q104" s="53">
        <v>445.89511403837241</v>
      </c>
      <c r="R104" s="53">
        <v>123.83725498021522</v>
      </c>
      <c r="S104" s="53">
        <v>29.888433173393423</v>
      </c>
      <c r="T104" s="53">
        <v>660.39024543005507</v>
      </c>
      <c r="V104" s="53">
        <v>2031</v>
      </c>
      <c r="W104" s="53">
        <v>3558.6466515329666</v>
      </c>
      <c r="X104" s="53">
        <v>3543.0629983402323</v>
      </c>
      <c r="Y104" s="53">
        <v>-64.212006261746865</v>
      </c>
      <c r="Z104" s="53">
        <v>3851.9959665728966</v>
      </c>
      <c r="AA104" s="53">
        <v>-2153.9661292330129</v>
      </c>
    </row>
    <row r="105" spans="1:27" x14ac:dyDescent="0.25">
      <c r="A105" s="53">
        <v>2032</v>
      </c>
      <c r="B105" s="79">
        <v>7028.3977447682992</v>
      </c>
      <c r="C105" s="79">
        <v>5217.0719381137751</v>
      </c>
      <c r="D105" s="79">
        <v>900.67836532762158</v>
      </c>
      <c r="E105" s="79">
        <v>-3.2877103991413605</v>
      </c>
      <c r="F105" s="79">
        <v>-2830.5479466473334</v>
      </c>
      <c r="H105" s="53">
        <v>2032</v>
      </c>
      <c r="I105" s="53">
        <v>8126.2667160229757</v>
      </c>
      <c r="J105" s="53">
        <v>3052.9347488649655</v>
      </c>
      <c r="K105" s="53">
        <v>709.36353841387609</v>
      </c>
      <c r="L105" s="53">
        <v>-0.43620543148426805</v>
      </c>
      <c r="M105" s="53">
        <v>-3518.4633361166925</v>
      </c>
      <c r="N105" s="39"/>
      <c r="O105" s="53">
        <v>2032</v>
      </c>
      <c r="P105" s="53">
        <v>2241.8925984704401</v>
      </c>
      <c r="Q105" s="53">
        <v>1472.2855741266394</v>
      </c>
      <c r="R105" s="53">
        <v>524.03625371864473</v>
      </c>
      <c r="S105" s="53">
        <v>20.897902990429429</v>
      </c>
      <c r="T105" s="53">
        <v>540.89209160656901</v>
      </c>
      <c r="V105" s="53">
        <v>2032</v>
      </c>
      <c r="W105" s="53">
        <v>13474.542470263783</v>
      </c>
      <c r="X105" s="53">
        <v>3928.966915169498</v>
      </c>
      <c r="Y105" s="53">
        <v>3053.6302227024571</v>
      </c>
      <c r="Z105" s="53">
        <v>7358.3204847589077</v>
      </c>
      <c r="AA105" s="53">
        <v>5107.6021978829522</v>
      </c>
    </row>
    <row r="106" spans="1:27" x14ac:dyDescent="0.25">
      <c r="A106" s="53" t="s">
        <v>45</v>
      </c>
      <c r="B106" s="78">
        <f>AVERAGE(B103:B105)</f>
        <v>6869.5950416749502</v>
      </c>
      <c r="C106" s="78">
        <f>AVERAGE(C103:C105)</f>
        <v>3247.0509477166925</v>
      </c>
      <c r="D106" s="78">
        <f>AVERAGE(D103:D105)</f>
        <v>387.74167483726342</v>
      </c>
      <c r="E106" s="78">
        <f>AVERAGE(E103:E105)</f>
        <v>-1.3498602563364936</v>
      </c>
      <c r="F106" s="78">
        <f>AVERAGE(F103:F105)</f>
        <v>-1611.2973495213857</v>
      </c>
      <c r="H106" s="53" t="s">
        <v>45</v>
      </c>
      <c r="I106" s="46">
        <f>AVERAGE(I103:I105)</f>
        <v>8328.6865196841154</v>
      </c>
      <c r="J106" s="46">
        <f>AVERAGE(J103:J105)</f>
        <v>2007.8718536976569</v>
      </c>
      <c r="K106" s="46">
        <f>AVERAGE(K103:K105)</f>
        <v>382.56331028848945</v>
      </c>
      <c r="L106" s="46">
        <f>AVERAGE(L103:L105)</f>
        <v>-2.4269945364940213</v>
      </c>
      <c r="M106" s="46">
        <f>AVERAGE(M103:M105)</f>
        <v>-1981.086753802859</v>
      </c>
      <c r="N106" s="39"/>
      <c r="O106" s="53" t="s">
        <v>45</v>
      </c>
      <c r="P106" s="46">
        <f>AVERAGE(P103:P105)</f>
        <v>3074.7793936158218</v>
      </c>
      <c r="Q106" s="46">
        <f>AVERAGE(Q103:Q105)</f>
        <v>1225.7787870372024</v>
      </c>
      <c r="R106" s="46">
        <f>AVERAGE(R103:R105)</f>
        <v>240.22022060108733</v>
      </c>
      <c r="S106" s="46">
        <f>AVERAGE(S103:S105)</f>
        <v>20.993247759601218</v>
      </c>
      <c r="T106" s="46">
        <f>AVERAGE(T103:T105)</f>
        <v>575.75539241218939</v>
      </c>
      <c r="V106" s="53" t="s">
        <v>45</v>
      </c>
      <c r="W106" s="46">
        <f>AVERAGE(W103:W105)</f>
        <v>12026.880602683561</v>
      </c>
      <c r="X106" s="46">
        <f>AVERAGE(X103:X105)</f>
        <v>3616.6610657838173</v>
      </c>
      <c r="Y106" s="46">
        <f>AVERAGE(Y103:Y105)</f>
        <v>2294.5483904476473</v>
      </c>
      <c r="Z106" s="46">
        <f>AVERAGE(Z103:Z105)</f>
        <v>5769.6494772004271</v>
      </c>
      <c r="AA106" s="46">
        <f>AVERAGE(AA103:AA105)</f>
        <v>1075.3593713178609</v>
      </c>
    </row>
    <row r="108" spans="1:27" x14ac:dyDescent="0.25">
      <c r="A108" s="62" t="s">
        <v>72</v>
      </c>
    </row>
    <row r="109" spans="1:27" x14ac:dyDescent="0.25">
      <c r="A109" s="46" t="s">
        <v>9</v>
      </c>
      <c r="B109" s="46"/>
      <c r="C109" s="46"/>
      <c r="D109" s="46"/>
      <c r="E109" s="46"/>
      <c r="F109" s="53"/>
      <c r="H109" s="46" t="s">
        <v>89</v>
      </c>
      <c r="I109" s="46"/>
      <c r="J109" s="46"/>
      <c r="K109" s="46"/>
      <c r="L109" s="46"/>
      <c r="M109" s="53"/>
      <c r="N109" s="65"/>
      <c r="O109" s="46" t="s">
        <v>20</v>
      </c>
      <c r="P109" s="46"/>
      <c r="Q109" s="46"/>
      <c r="R109" s="46"/>
      <c r="S109" s="46"/>
      <c r="T109" s="53"/>
      <c r="V109" s="46" t="s">
        <v>21</v>
      </c>
      <c r="W109" s="46"/>
      <c r="X109" s="46"/>
      <c r="Y109" s="46"/>
      <c r="Z109" s="46"/>
      <c r="AA109" s="53"/>
    </row>
    <row r="110" spans="1:27" x14ac:dyDescent="0.25">
      <c r="A110" s="53" t="s">
        <v>1</v>
      </c>
      <c r="B110" s="46" t="s">
        <v>2</v>
      </c>
      <c r="C110" s="46" t="s">
        <v>22</v>
      </c>
      <c r="D110" s="46" t="s">
        <v>3</v>
      </c>
      <c r="E110" s="46" t="s">
        <v>23</v>
      </c>
      <c r="F110" s="46" t="s">
        <v>24</v>
      </c>
      <c r="H110" s="53" t="s">
        <v>1</v>
      </c>
      <c r="I110" s="46" t="s">
        <v>2</v>
      </c>
      <c r="J110" s="46" t="s">
        <v>22</v>
      </c>
      <c r="K110" s="46" t="s">
        <v>3</v>
      </c>
      <c r="L110" s="46" t="s">
        <v>23</v>
      </c>
      <c r="M110" s="46" t="s">
        <v>24</v>
      </c>
      <c r="N110" s="39"/>
      <c r="O110" s="53" t="s">
        <v>1</v>
      </c>
      <c r="P110" s="46" t="s">
        <v>2</v>
      </c>
      <c r="Q110" s="46" t="s">
        <v>22</v>
      </c>
      <c r="R110" s="46" t="s">
        <v>3</v>
      </c>
      <c r="S110" s="46" t="s">
        <v>23</v>
      </c>
      <c r="T110" s="46" t="s">
        <v>24</v>
      </c>
      <c r="V110" s="53" t="s">
        <v>1</v>
      </c>
      <c r="W110" s="46" t="s">
        <v>2</v>
      </c>
      <c r="X110" s="46" t="s">
        <v>22</v>
      </c>
      <c r="Y110" s="46" t="s">
        <v>3</v>
      </c>
      <c r="Z110" s="46" t="s">
        <v>23</v>
      </c>
      <c r="AA110" s="46" t="s">
        <v>24</v>
      </c>
    </row>
    <row r="111" spans="1:27" x14ac:dyDescent="0.25">
      <c r="A111" s="53">
        <v>2020</v>
      </c>
      <c r="B111" s="78">
        <v>1119.6908841859549</v>
      </c>
      <c r="C111" s="78">
        <v>352.35947636188939</v>
      </c>
      <c r="D111" s="78">
        <v>1348.4820621891413</v>
      </c>
      <c r="E111" s="78">
        <v>-0.2777250303333858</v>
      </c>
      <c r="F111" s="78">
        <v>159.64168646477628</v>
      </c>
      <c r="H111" s="53">
        <v>2020</v>
      </c>
      <c r="I111" s="78">
        <v>1275.7152549205348</v>
      </c>
      <c r="J111" s="78">
        <v>320.05663400120102</v>
      </c>
      <c r="K111" s="78">
        <v>1149.6347135884571</v>
      </c>
      <c r="L111" s="78">
        <v>-0.75570172623702092</v>
      </c>
      <c r="M111" s="78">
        <v>142.88983100175392</v>
      </c>
      <c r="N111" s="39"/>
      <c r="O111" s="53">
        <v>2020</v>
      </c>
      <c r="P111" s="78">
        <v>-318.94110313523561</v>
      </c>
      <c r="Q111" s="78">
        <v>426.32644715590868</v>
      </c>
      <c r="R111" s="78">
        <v>40.249793474096805</v>
      </c>
      <c r="S111" s="78">
        <v>1.4279379855943262</v>
      </c>
      <c r="T111" s="78">
        <v>25.170960463641677</v>
      </c>
      <c r="V111" s="53">
        <v>2020</v>
      </c>
      <c r="W111" s="78">
        <v>0</v>
      </c>
      <c r="X111" s="78">
        <v>0</v>
      </c>
      <c r="Y111" s="78">
        <v>0</v>
      </c>
      <c r="Z111" s="78">
        <v>0</v>
      </c>
      <c r="AA111" s="78">
        <v>0</v>
      </c>
    </row>
    <row r="112" spans="1:27" x14ac:dyDescent="0.25">
      <c r="A112" s="53">
        <v>2021</v>
      </c>
      <c r="B112" s="78">
        <v>-4697.9118567632977</v>
      </c>
      <c r="C112" s="78">
        <v>-2413.4491809026804</v>
      </c>
      <c r="D112" s="78">
        <v>307.18736780242762</v>
      </c>
      <c r="E112" s="78">
        <v>-0.63865446158888517</v>
      </c>
      <c r="F112" s="78">
        <v>-580.59811187116429</v>
      </c>
      <c r="H112" s="53">
        <v>2021</v>
      </c>
      <c r="I112" s="78">
        <v>-4607.5958821401</v>
      </c>
      <c r="J112" s="78">
        <v>-2286.419331653975</v>
      </c>
      <c r="K112" s="78">
        <v>208.08911336550955</v>
      </c>
      <c r="L112" s="78">
        <v>-1.1729453673833632</v>
      </c>
      <c r="M112" s="78">
        <v>-585.12435606238432</v>
      </c>
      <c r="N112" s="65"/>
      <c r="O112" s="53">
        <v>2021</v>
      </c>
      <c r="P112" s="78">
        <v>-4457.8370028800564</v>
      </c>
      <c r="Q112" s="78">
        <v>-1645.5187297061784</v>
      </c>
      <c r="R112" s="78">
        <v>-234.28000356646953</v>
      </c>
      <c r="S112" s="78">
        <v>-1.1960972944507375</v>
      </c>
      <c r="T112" s="78">
        <v>-864.49860857770545</v>
      </c>
      <c r="V112" s="53">
        <v>2021</v>
      </c>
      <c r="W112" s="78">
        <v>-5788.4898972371593</v>
      </c>
      <c r="X112" s="78">
        <v>-2572.5425907250028</v>
      </c>
      <c r="Y112" s="78">
        <v>-1197.8682017527753</v>
      </c>
      <c r="Z112" s="78">
        <v>-62.92078377501457</v>
      </c>
      <c r="AA112" s="78">
        <v>-1131.4629547726945</v>
      </c>
    </row>
    <row r="113" spans="1:27" x14ac:dyDescent="0.25">
      <c r="A113" s="53">
        <v>2022</v>
      </c>
      <c r="B113" s="79">
        <v>-7896.7159959292039</v>
      </c>
      <c r="C113" s="79">
        <v>-4445.5422454096843</v>
      </c>
      <c r="D113" s="79">
        <v>-1825.4309742984478</v>
      </c>
      <c r="E113" s="79">
        <v>2.5681636909794179</v>
      </c>
      <c r="F113" s="79">
        <v>-1313.8005967481877</v>
      </c>
      <c r="H113" s="53">
        <v>2022</v>
      </c>
      <c r="I113" s="79">
        <v>-8467.0514773093164</v>
      </c>
      <c r="J113" s="79">
        <v>-3912.7922241205815</v>
      </c>
      <c r="K113" s="79">
        <v>-1899.6191466274322</v>
      </c>
      <c r="L113" s="79">
        <v>1.664332612133876</v>
      </c>
      <c r="M113" s="79">
        <v>-1046.7711190784466</v>
      </c>
      <c r="N113" s="39"/>
      <c r="O113" s="53">
        <v>2022</v>
      </c>
      <c r="P113" s="79">
        <v>-6553.0836657537147</v>
      </c>
      <c r="Q113" s="79">
        <v>-2810.583791236626</v>
      </c>
      <c r="R113" s="79">
        <v>-646.77779406728223</v>
      </c>
      <c r="S113" s="79">
        <v>-7.7215425195172429</v>
      </c>
      <c r="T113" s="79">
        <v>-904.16060620342614</v>
      </c>
      <c r="V113" s="53">
        <v>2022</v>
      </c>
      <c r="W113" s="79">
        <v>-12185.584521569312</v>
      </c>
      <c r="X113" s="79">
        <v>-4362.9831467589829</v>
      </c>
      <c r="Y113" s="79">
        <v>-16095.741557064583</v>
      </c>
      <c r="Z113" s="79">
        <v>483.21097273478517</v>
      </c>
      <c r="AA113" s="79">
        <v>-2709.826624784735</v>
      </c>
    </row>
    <row r="114" spans="1:27" x14ac:dyDescent="0.25">
      <c r="A114" s="53">
        <v>2023</v>
      </c>
      <c r="B114" s="78">
        <v>-20964.644644758664</v>
      </c>
      <c r="C114" s="78">
        <v>-18616.352109398926</v>
      </c>
      <c r="D114" s="78">
        <v>-5989.7505685379729</v>
      </c>
      <c r="E114" s="78">
        <v>3.5488046067912364</v>
      </c>
      <c r="F114" s="78">
        <v>-7731.9219488854869</v>
      </c>
      <c r="H114" s="53">
        <v>2023</v>
      </c>
      <c r="I114" s="78">
        <v>-20062.638692880981</v>
      </c>
      <c r="J114" s="78">
        <v>-17454.836598847294</v>
      </c>
      <c r="K114" s="78">
        <v>-5874.9841378791607</v>
      </c>
      <c r="L114" s="78">
        <v>2.7744792092707939</v>
      </c>
      <c r="M114" s="78">
        <v>-7513.7950233272859</v>
      </c>
      <c r="N114" s="39"/>
      <c r="O114" s="53">
        <v>2023</v>
      </c>
      <c r="P114" s="78">
        <v>1684.3983866994968</v>
      </c>
      <c r="Q114" s="78">
        <v>-1938.9489785883343</v>
      </c>
      <c r="R114" s="78">
        <v>-594.84540061006555</v>
      </c>
      <c r="S114" s="78">
        <v>-19.742575557334931</v>
      </c>
      <c r="T114" s="78">
        <v>-8875.1248544338159</v>
      </c>
      <c r="V114" s="53">
        <v>2023</v>
      </c>
      <c r="W114" s="78">
        <v>-32337.464816064807</v>
      </c>
      <c r="X114" s="78">
        <v>-19411.871941864258</v>
      </c>
      <c r="Y114" s="78">
        <v>-36177.229791353922</v>
      </c>
      <c r="Z114" s="78">
        <v>-27965.738559194971</v>
      </c>
      <c r="AA114" s="78">
        <v>-15139.90851642983</v>
      </c>
    </row>
    <row r="115" spans="1:27" x14ac:dyDescent="0.25">
      <c r="A115" s="53">
        <v>2024</v>
      </c>
      <c r="B115" s="79">
        <v>2765.4365416539367</v>
      </c>
      <c r="C115" s="79">
        <v>-36.192166287684813</v>
      </c>
      <c r="D115" s="79">
        <v>-63.906977849022951</v>
      </c>
      <c r="E115" s="79">
        <v>7.8137492106834543</v>
      </c>
      <c r="F115" s="79">
        <v>-3254.2244113396737</v>
      </c>
      <c r="H115" s="53">
        <v>2024</v>
      </c>
      <c r="I115" s="79">
        <v>3061.339931090828</v>
      </c>
      <c r="J115" s="79">
        <v>1499.1748166121542</v>
      </c>
      <c r="K115" s="79">
        <v>50.197642636718228</v>
      </c>
      <c r="L115" s="79">
        <v>8.3697011197145912</v>
      </c>
      <c r="M115" s="79">
        <v>-3354.6419558509369</v>
      </c>
      <c r="N115" s="39"/>
      <c r="O115" s="53">
        <v>2024</v>
      </c>
      <c r="P115" s="79">
        <v>13694.988511042669</v>
      </c>
      <c r="Q115" s="79">
        <v>2498.0234247362241</v>
      </c>
      <c r="R115" s="79">
        <v>191.61040986515582</v>
      </c>
      <c r="S115" s="79">
        <v>-28.824300689688243</v>
      </c>
      <c r="T115" s="79">
        <v>-2251.4491401970154</v>
      </c>
      <c r="V115" s="53">
        <v>2024</v>
      </c>
      <c r="W115" s="79">
        <v>-8227.016934000887</v>
      </c>
      <c r="X115" s="79">
        <v>-6492.2665306343697</v>
      </c>
      <c r="Y115" s="79">
        <v>-8852.4764111700351</v>
      </c>
      <c r="Z115" s="79">
        <v>266.39301456422982</v>
      </c>
      <c r="AA115" s="79">
        <v>-4118.112689198344</v>
      </c>
    </row>
    <row r="116" spans="1:27" x14ac:dyDescent="0.25">
      <c r="A116" s="53">
        <v>2025</v>
      </c>
      <c r="B116" s="78">
        <v>-11451.401142819552</v>
      </c>
      <c r="C116" s="78">
        <v>-8311.2832786594518</v>
      </c>
      <c r="D116" s="78">
        <v>-2586.6474576870169</v>
      </c>
      <c r="E116" s="78">
        <v>-5.1208449142068275</v>
      </c>
      <c r="F116" s="78">
        <v>-4255.4579075208167</v>
      </c>
      <c r="H116" s="53">
        <v>2025</v>
      </c>
      <c r="I116" s="78">
        <v>3668.2778429971077</v>
      </c>
      <c r="J116" s="78">
        <v>1539.4881711751223</v>
      </c>
      <c r="K116" s="78">
        <v>-13.470084726948699</v>
      </c>
      <c r="L116" s="78">
        <v>-8.353309852827806E-2</v>
      </c>
      <c r="M116" s="78">
        <v>-2595.8024680690723</v>
      </c>
      <c r="N116" s="39"/>
      <c r="O116" s="53">
        <v>2025</v>
      </c>
      <c r="P116" s="78">
        <v>5336.5523361589294</v>
      </c>
      <c r="Q116" s="78">
        <v>1382.9834649784025</v>
      </c>
      <c r="R116" s="78">
        <v>159.92877446006787</v>
      </c>
      <c r="S116" s="78">
        <v>-41.544617867570196</v>
      </c>
      <c r="T116" s="78">
        <v>-2780.1829549538088</v>
      </c>
      <c r="V116" s="53">
        <v>2025</v>
      </c>
      <c r="W116" s="78">
        <v>-10749.885916376952</v>
      </c>
      <c r="X116" s="78">
        <v>-3746.1940864059143</v>
      </c>
      <c r="Y116" s="78">
        <v>-3728.6429050901788</v>
      </c>
      <c r="Z116" s="78">
        <v>-4469.0950245147833</v>
      </c>
      <c r="AA116" s="78">
        <v>-6626.6325180126005</v>
      </c>
    </row>
  </sheetData>
  <scenarios current="0">
    <scenario name="Neutral" locked="1" count="1" user="Kiet Lee" comment="Created by Kiet Lee on 10/10/2017">
      <inputCells r="B2" val="5" numFmtId="9"/>
    </scenario>
  </scenarios>
  <mergeCells count="12">
    <mergeCell ref="A75:A88"/>
    <mergeCell ref="H75:H88"/>
    <mergeCell ref="V75:V88"/>
    <mergeCell ref="O75:O88"/>
    <mergeCell ref="A31:A44"/>
    <mergeCell ref="H31:H44"/>
    <mergeCell ref="O31:O44"/>
    <mergeCell ref="V31:V44"/>
    <mergeCell ref="A49:A70"/>
    <mergeCell ref="H49:H70"/>
    <mergeCell ref="O49:O70"/>
    <mergeCell ref="V49:V70"/>
  </mergeCells>
  <conditionalFormatting sqref="D16:K22">
    <cfRule type="cellIs" dxfId="5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AA116"/>
  <sheetViews>
    <sheetView zoomScale="70" zoomScaleNormal="70" workbookViewId="0"/>
  </sheetViews>
  <sheetFormatPr defaultColWidth="14.7109375" defaultRowHeight="15" x14ac:dyDescent="0.25"/>
  <cols>
    <col min="3" max="3" width="14.85546875" customWidth="1"/>
    <col min="5" max="5" width="15.7109375" customWidth="1"/>
  </cols>
  <sheetData>
    <row r="1" spans="1:22" s="65" customFormat="1" x14ac:dyDescent="0.25">
      <c r="A1" s="9" t="s">
        <v>12</v>
      </c>
      <c r="C1" s="9" t="s">
        <v>14</v>
      </c>
    </row>
    <row r="2" spans="1:22" s="61" customFormat="1" x14ac:dyDescent="0.25">
      <c r="A2" s="13" t="s">
        <v>8</v>
      </c>
      <c r="B2" s="85">
        <v>0.06</v>
      </c>
      <c r="C2" s="20">
        <f>Discount_rate</f>
        <v>0.06</v>
      </c>
    </row>
    <row r="3" spans="1:22" s="61" customFormat="1" x14ac:dyDescent="0.25">
      <c r="A3" s="31" t="s">
        <v>13</v>
      </c>
      <c r="B3" s="24">
        <v>498883.9</v>
      </c>
      <c r="C3" s="32">
        <f>Option_C2_PresentCost+Snowylink2_Cost</f>
        <v>498883.8973308641</v>
      </c>
    </row>
    <row r="4" spans="1:22" s="61" customFormat="1" x14ac:dyDescent="0.25">
      <c r="A4" s="31" t="s">
        <v>34</v>
      </c>
      <c r="B4" s="15">
        <v>30</v>
      </c>
      <c r="C4" s="19">
        <f>Network_payment_duration_years</f>
        <v>30</v>
      </c>
    </row>
    <row r="5" spans="1:22" s="61" customFormat="1" x14ac:dyDescent="0.25">
      <c r="A5" s="11"/>
      <c r="B5" s="25"/>
      <c r="D5" s="65"/>
      <c r="E5" s="65"/>
    </row>
    <row r="6" spans="1:22" s="61" customFormat="1" x14ac:dyDescent="0.25">
      <c r="A6" s="30" t="s">
        <v>15</v>
      </c>
      <c r="B6" s="31" t="s">
        <v>9</v>
      </c>
      <c r="C6" s="10" t="s">
        <v>89</v>
      </c>
      <c r="D6" s="10" t="s">
        <v>20</v>
      </c>
      <c r="E6" s="10" t="s">
        <v>21</v>
      </c>
    </row>
    <row r="7" spans="1:22" s="61" customFormat="1" x14ac:dyDescent="0.25">
      <c r="A7" s="30" t="s">
        <v>7</v>
      </c>
      <c r="B7" s="24">
        <f>E25</f>
        <v>80287.067918458837</v>
      </c>
      <c r="C7" s="24">
        <f>L25</f>
        <v>33735.03697814059</v>
      </c>
      <c r="D7" s="24">
        <f>S25</f>
        <v>53339.269113153743</v>
      </c>
      <c r="E7" s="24">
        <f>Z25</f>
        <v>149669.78209236509</v>
      </c>
      <c r="G7" s="29"/>
      <c r="H7" s="29"/>
      <c r="I7" s="29"/>
      <c r="J7" s="29"/>
      <c r="K7" s="29"/>
      <c r="L7" s="29"/>
      <c r="M7" s="29"/>
      <c r="N7" s="29"/>
      <c r="O7" s="29"/>
      <c r="P7" s="29"/>
      <c r="T7" s="29"/>
      <c r="U7" s="29"/>
      <c r="V7" s="29"/>
    </row>
    <row r="8" spans="1:22" s="61" customFormat="1" x14ac:dyDescent="0.25">
      <c r="A8" s="11"/>
      <c r="B8" s="25"/>
      <c r="D8" s="65"/>
      <c r="E8" s="65"/>
      <c r="G8" s="29"/>
      <c r="H8" s="29"/>
      <c r="I8" s="29"/>
      <c r="J8" s="29"/>
      <c r="K8" s="29"/>
      <c r="L8" s="29"/>
      <c r="M8" s="29"/>
      <c r="N8" s="29"/>
      <c r="O8" s="29"/>
      <c r="P8" s="29"/>
      <c r="T8" s="29"/>
      <c r="U8" s="29"/>
      <c r="V8" s="29"/>
    </row>
    <row r="9" spans="1:22" s="65" customFormat="1" x14ac:dyDescent="0.25">
      <c r="A9" s="30" t="str">
        <f>Assumptions!A20</f>
        <v>Scenario weightings</v>
      </c>
      <c r="B9" s="5" t="str">
        <f>Assumptions!B20</f>
        <v>Neutral</v>
      </c>
      <c r="C9" s="5" t="str">
        <f>Assumptions!C20</f>
        <v>NeutralWS</v>
      </c>
      <c r="D9" s="5" t="str">
        <f>Assumptions!D20</f>
        <v>Slow Change</v>
      </c>
      <c r="E9" s="5" t="str">
        <f>Assumptions!E20</f>
        <v>Fast Change</v>
      </c>
      <c r="F9" s="5" t="str">
        <f>Assumptions!F20</f>
        <v>Total</v>
      </c>
    </row>
    <row r="10" spans="1:22" s="65" customFormat="1" x14ac:dyDescent="0.25">
      <c r="A10" s="31" t="str">
        <f>Assumptions!A21</f>
        <v>Set A - all equal</v>
      </c>
      <c r="B10" s="7">
        <f>Assumptions!B21</f>
        <v>0.25</v>
      </c>
      <c r="C10" s="7">
        <f>Assumptions!C21</f>
        <v>0.25</v>
      </c>
      <c r="D10" s="7">
        <f>Assumptions!D21</f>
        <v>0.25</v>
      </c>
      <c r="E10" s="7">
        <f>Assumptions!E21</f>
        <v>0.25</v>
      </c>
      <c r="F10" s="7">
        <f>Assumptions!F21</f>
        <v>1</v>
      </c>
    </row>
    <row r="11" spans="1:22" s="65" customFormat="1" x14ac:dyDescent="0.25">
      <c r="A11" s="31" t="str">
        <f>Assumptions!A22</f>
        <v>Set B - more Neutral</v>
      </c>
      <c r="B11" s="7">
        <f>Assumptions!B22</f>
        <v>0.4</v>
      </c>
      <c r="C11" s="7">
        <f>Assumptions!C22</f>
        <v>0.4</v>
      </c>
      <c r="D11" s="7">
        <f>Assumptions!D22</f>
        <v>0.1</v>
      </c>
      <c r="E11" s="7">
        <f>Assumptions!E22</f>
        <v>0.1</v>
      </c>
      <c r="F11" s="7">
        <f>Assumptions!F22</f>
        <v>1</v>
      </c>
    </row>
    <row r="12" spans="1:22" s="65" customFormat="1" x14ac:dyDescent="0.25">
      <c r="A12" s="31" t="str">
        <f>Assumptions!A23</f>
        <v>Set C - Slow Change</v>
      </c>
      <c r="B12" s="7">
        <f>Assumptions!B23</f>
        <v>0.2</v>
      </c>
      <c r="C12" s="7">
        <f>Assumptions!C23</f>
        <v>0.2</v>
      </c>
      <c r="D12" s="7">
        <f>Assumptions!D23</f>
        <v>0.4</v>
      </c>
      <c r="E12" s="7">
        <f>Assumptions!E23</f>
        <v>0.2</v>
      </c>
      <c r="F12" s="7">
        <f>Assumptions!F23</f>
        <v>1</v>
      </c>
    </row>
    <row r="13" spans="1:22" s="65" customFormat="1" x14ac:dyDescent="0.25">
      <c r="A13" s="31" t="str">
        <f>Assumptions!A24</f>
        <v>Set D - Fast Change</v>
      </c>
      <c r="B13" s="7">
        <f>Assumptions!B24</f>
        <v>0.2</v>
      </c>
      <c r="C13" s="7">
        <f>Assumptions!C24</f>
        <v>0.2</v>
      </c>
      <c r="D13" s="7">
        <f>Assumptions!D24</f>
        <v>0.2</v>
      </c>
      <c r="E13" s="7">
        <f>Assumptions!E24</f>
        <v>0.4</v>
      </c>
      <c r="F13" s="7">
        <f>Assumptions!F24</f>
        <v>1</v>
      </c>
    </row>
    <row r="14" spans="1:22" s="65" customFormat="1" x14ac:dyDescent="0.25">
      <c r="A14" s="11"/>
      <c r="B14" s="72"/>
      <c r="C14" s="72"/>
      <c r="D14" s="72"/>
      <c r="E14" s="72"/>
      <c r="F14" s="72"/>
    </row>
    <row r="15" spans="1:22" s="65" customFormat="1" x14ac:dyDescent="0.25">
      <c r="A15" s="33"/>
      <c r="B15" s="5" t="s">
        <v>35</v>
      </c>
      <c r="C15" s="33" t="str">
        <f ca="1">MID(CELL("filename",C1),FIND("]",CELL("filename",C1))+1,255)</f>
        <v>Benefits - Option C2</v>
      </c>
      <c r="D15" s="2" t="s">
        <v>9</v>
      </c>
      <c r="E15" s="2" t="s">
        <v>89</v>
      </c>
      <c r="F15" s="2" t="s">
        <v>20</v>
      </c>
      <c r="G15" s="2" t="s">
        <v>21</v>
      </c>
      <c r="H15" s="2" t="s">
        <v>17</v>
      </c>
      <c r="I15" s="92" t="s">
        <v>18</v>
      </c>
      <c r="J15" s="92" t="s">
        <v>19</v>
      </c>
      <c r="K15" s="92" t="s">
        <v>43</v>
      </c>
      <c r="L15" s="29"/>
      <c r="M15" s="29"/>
      <c r="N15" s="29"/>
      <c r="O15" s="29"/>
      <c r="P15" s="29"/>
      <c r="T15" s="29"/>
      <c r="U15" s="29"/>
      <c r="V15" s="29"/>
    </row>
    <row r="16" spans="1:22" s="61" customFormat="1" x14ac:dyDescent="0.25">
      <c r="A16" s="22" t="s">
        <v>8</v>
      </c>
      <c r="B16" s="23">
        <f>Assumptions!B9+Discount_rate</f>
        <v>0.06</v>
      </c>
      <c r="C16" s="57" t="s">
        <v>36</v>
      </c>
      <c r="D16" s="2">
        <v>80287.070000000007</v>
      </c>
      <c r="E16" s="2">
        <v>33735.040000000001</v>
      </c>
      <c r="F16" s="2">
        <v>53339.27</v>
      </c>
      <c r="G16" s="2">
        <v>149669.78</v>
      </c>
      <c r="H16" s="2">
        <f>$B$10*$D16+$C$10*$E16+$D$10*$F16+$E$10*$G16</f>
        <v>79257.790000000008</v>
      </c>
      <c r="I16" s="2">
        <f>$B$11*$D16+$C$11*$E16+$D$11*$F16+$E$11*$G16</f>
        <v>65909.749000000011</v>
      </c>
      <c r="J16" s="2">
        <f>$B$12*$D16+$C$12*$E16+$D$12*$F16+$E$12*$G16</f>
        <v>74074.08600000001</v>
      </c>
      <c r="K16" s="2">
        <f>$B$13*$D16+$C$13*$E16+$D$13*$F16+$E$13*$G16</f>
        <v>93340.187999999995</v>
      </c>
      <c r="L16" s="29"/>
      <c r="M16" s="29"/>
      <c r="N16" s="29"/>
      <c r="O16" s="29"/>
      <c r="P16" s="29"/>
      <c r="T16" s="29"/>
      <c r="U16" s="29"/>
      <c r="V16" s="29"/>
    </row>
    <row r="17" spans="1:26" s="61" customFormat="1" x14ac:dyDescent="0.25">
      <c r="A17" s="22"/>
      <c r="B17" s="23">
        <f>Assumptions!B10+Discount_rate</f>
        <v>8.4999999999999992E-2</v>
      </c>
      <c r="C17" s="22" t="str">
        <f>"Discount rate " &amp;Assumptions!B10</f>
        <v>Discount rate 0.025</v>
      </c>
      <c r="D17" s="2">
        <v>14680.08</v>
      </c>
      <c r="E17" s="2">
        <v>-24051</v>
      </c>
      <c r="F17" s="2">
        <v>2518.13</v>
      </c>
      <c r="G17" s="2">
        <v>33483.43</v>
      </c>
      <c r="H17" s="2">
        <f t="shared" ref="H17:H22" si="0">$B$10*$D17+$C$10*$E17+$D$10*$F17+$E$10*$G17</f>
        <v>6657.66</v>
      </c>
      <c r="I17" s="2">
        <f t="shared" ref="I17:I22" si="1">$B$11*$D17+$C$11*$E17+$D$11*$F17+$E$11*$G17</f>
        <v>-148.21199999999908</v>
      </c>
      <c r="J17" s="2">
        <f t="shared" ref="J17:J22" si="2">$B$12*$D17+$C$12*$E17+$D$12*$F17+$E$12*$G17</f>
        <v>5829.7540000000008</v>
      </c>
      <c r="K17" s="2">
        <f t="shared" ref="K17:K22" si="3">$B$13*$D17+$C$13*$E17+$D$13*$F17+$E$13*$G17</f>
        <v>12022.814000000002</v>
      </c>
      <c r="L17" s="29"/>
      <c r="M17" s="29"/>
      <c r="N17" s="29"/>
      <c r="O17" s="29"/>
      <c r="P17" s="29"/>
      <c r="T17" s="29"/>
      <c r="U17" s="29"/>
      <c r="V17" s="29"/>
    </row>
    <row r="18" spans="1:26" s="61" customFormat="1" x14ac:dyDescent="0.25">
      <c r="A18" s="22"/>
      <c r="B18" s="23">
        <f>Assumptions!B11+Discount_rate</f>
        <v>3.4999999999999996E-2</v>
      </c>
      <c r="C18" s="22" t="str">
        <f>"Discount rate " &amp;Assumptions!B11</f>
        <v>Discount rate -0.025</v>
      </c>
      <c r="D18" s="2">
        <v>200782.12</v>
      </c>
      <c r="E18" s="2">
        <v>144112.91</v>
      </c>
      <c r="F18" s="2">
        <v>144017.79</v>
      </c>
      <c r="G18" s="2">
        <v>381880.35</v>
      </c>
      <c r="H18" s="2">
        <f t="shared" si="0"/>
        <v>217698.29250000001</v>
      </c>
      <c r="I18" s="2">
        <f t="shared" si="1"/>
        <v>190547.826</v>
      </c>
      <c r="J18" s="2">
        <f t="shared" si="2"/>
        <v>202962.19199999998</v>
      </c>
      <c r="K18" s="2">
        <f t="shared" si="3"/>
        <v>250534.70399999997</v>
      </c>
      <c r="L18" s="29"/>
      <c r="M18" s="29"/>
      <c r="N18" s="29"/>
      <c r="O18" s="29"/>
      <c r="P18" s="29"/>
      <c r="T18" s="29"/>
      <c r="U18" s="29"/>
      <c r="V18" s="29"/>
    </row>
    <row r="19" spans="1:26" s="61" customFormat="1" x14ac:dyDescent="0.25">
      <c r="A19" s="21" t="s">
        <v>13</v>
      </c>
      <c r="B19" s="24">
        <f>Assumptions!B13*(Option_C2_PresentCost+Snowylink2_Cost)</f>
        <v>648549.06653012335</v>
      </c>
      <c r="C19" s="21" t="str">
        <f>"Cost x "&amp;Assumptions!B13</f>
        <v>Cost x 1.3</v>
      </c>
      <c r="D19" s="2">
        <v>6663.95</v>
      </c>
      <c r="E19" s="2">
        <v>-39888.080000000002</v>
      </c>
      <c r="F19" s="2">
        <v>-20283.849999999999</v>
      </c>
      <c r="G19" s="2">
        <v>76046.66</v>
      </c>
      <c r="H19" s="2">
        <f t="shared" si="0"/>
        <v>5634.67</v>
      </c>
      <c r="I19" s="2">
        <f t="shared" si="1"/>
        <v>-7713.371000000001</v>
      </c>
      <c r="J19" s="2">
        <f t="shared" si="2"/>
        <v>450.96600000000035</v>
      </c>
      <c r="K19" s="2">
        <f t="shared" si="3"/>
        <v>19717.068000000003</v>
      </c>
      <c r="L19" s="29"/>
      <c r="M19" s="29"/>
      <c r="N19" s="29"/>
      <c r="O19" s="29"/>
      <c r="P19" s="29"/>
      <c r="T19" s="29"/>
      <c r="U19" s="29"/>
      <c r="V19" s="29"/>
    </row>
    <row r="20" spans="1:26" s="61" customFormat="1" x14ac:dyDescent="0.25">
      <c r="A20" s="21"/>
      <c r="B20" s="24">
        <f>Assumptions!B14*(Option_C2_PresentCost+Snowylink2_Cost)</f>
        <v>349218.72813160485</v>
      </c>
      <c r="C20" s="21" t="str">
        <f>"Cost x "&amp;Assumptions!B14</f>
        <v>Cost x 0.7</v>
      </c>
      <c r="D20" s="2">
        <v>153910.19</v>
      </c>
      <c r="E20" s="2">
        <v>107358.15</v>
      </c>
      <c r="F20" s="2">
        <v>126962.39</v>
      </c>
      <c r="G20" s="2">
        <v>223292.9</v>
      </c>
      <c r="H20" s="2">
        <f t="shared" si="0"/>
        <v>152880.9075</v>
      </c>
      <c r="I20" s="2">
        <f t="shared" si="1"/>
        <v>139532.86500000002</v>
      </c>
      <c r="J20" s="2">
        <f t="shared" si="2"/>
        <v>147697.20400000003</v>
      </c>
      <c r="K20" s="2">
        <f t="shared" si="3"/>
        <v>166963.30600000001</v>
      </c>
      <c r="L20" s="29"/>
      <c r="M20" s="29"/>
      <c r="N20" s="29"/>
      <c r="O20" s="29"/>
      <c r="P20" s="29"/>
      <c r="T20" s="29"/>
      <c r="U20" s="29"/>
      <c r="V20" s="29"/>
    </row>
    <row r="21" spans="1:26" s="61" customFormat="1" x14ac:dyDescent="0.25">
      <c r="A21" s="55" t="s">
        <v>33</v>
      </c>
      <c r="B21" s="56">
        <f>Network_payment_duration_years+Assumptions!B16</f>
        <v>25</v>
      </c>
      <c r="C21" s="55" t="str">
        <f>"Payback "&amp;Assumptions!B16&amp;" years"</f>
        <v>Payback -5 years</v>
      </c>
      <c r="D21" s="2">
        <v>71251.05</v>
      </c>
      <c r="E21" s="2">
        <v>24699.02</v>
      </c>
      <c r="F21" s="2">
        <v>44303.25</v>
      </c>
      <c r="G21" s="2">
        <v>140633.76999999999</v>
      </c>
      <c r="H21" s="2">
        <f t="shared" si="0"/>
        <v>70221.772499999992</v>
      </c>
      <c r="I21" s="2">
        <f t="shared" si="1"/>
        <v>56873.73</v>
      </c>
      <c r="J21" s="2">
        <f t="shared" si="2"/>
        <v>65038.067999999999</v>
      </c>
      <c r="K21" s="2">
        <f t="shared" si="3"/>
        <v>84304.172000000006</v>
      </c>
      <c r="L21" s="29"/>
      <c r="M21" s="29"/>
      <c r="N21" s="29"/>
      <c r="O21" s="29"/>
      <c r="P21" s="29"/>
      <c r="T21" s="29"/>
      <c r="U21" s="29"/>
      <c r="V21" s="29"/>
    </row>
    <row r="22" spans="1:26" s="61" customFormat="1" x14ac:dyDescent="0.25">
      <c r="A22" s="55"/>
      <c r="B22" s="56">
        <f>Network_payment_duration_years+Assumptions!B17</f>
        <v>35</v>
      </c>
      <c r="C22" s="55" t="str">
        <f>"Payback +"&amp;Assumptions!B17&amp;" years"</f>
        <v>Payback +5 years</v>
      </c>
      <c r="D22" s="2">
        <v>86974.15</v>
      </c>
      <c r="E22" s="2">
        <v>40422.120000000003</v>
      </c>
      <c r="F22" s="2">
        <v>60026.35</v>
      </c>
      <c r="G22" s="2">
        <v>156356.85999999999</v>
      </c>
      <c r="H22" s="2">
        <f t="shared" si="0"/>
        <v>85944.87</v>
      </c>
      <c r="I22" s="2">
        <f t="shared" si="1"/>
        <v>72596.828999999998</v>
      </c>
      <c r="J22" s="2">
        <f t="shared" si="2"/>
        <v>80761.165999999997</v>
      </c>
      <c r="K22" s="2">
        <f t="shared" si="3"/>
        <v>100027.26800000001</v>
      </c>
      <c r="L22" s="29"/>
      <c r="M22" s="29"/>
      <c r="N22" s="29"/>
      <c r="O22" s="29"/>
      <c r="P22" s="29"/>
      <c r="T22" s="29"/>
      <c r="U22" s="29"/>
      <c r="V22" s="29"/>
    </row>
    <row r="23" spans="1:26" s="65" customFormat="1" x14ac:dyDescent="0.25">
      <c r="A23" s="91"/>
      <c r="B23" s="12"/>
      <c r="C23" s="4"/>
      <c r="E23" s="4"/>
    </row>
    <row r="24" spans="1:26" x14ac:dyDescent="0.25">
      <c r="A24" s="4"/>
      <c r="C24" s="13" t="s">
        <v>4</v>
      </c>
      <c r="D24" s="13" t="s">
        <v>5</v>
      </c>
      <c r="E24" s="13" t="s">
        <v>6</v>
      </c>
      <c r="H24" s="4"/>
      <c r="I24" s="61"/>
      <c r="J24" s="13" t="s">
        <v>4</v>
      </c>
      <c r="K24" s="13" t="s">
        <v>5</v>
      </c>
      <c r="L24" s="13" t="s">
        <v>6</v>
      </c>
      <c r="O24" s="4"/>
      <c r="P24" s="61"/>
      <c r="Q24" s="13" t="s">
        <v>4</v>
      </c>
      <c r="R24" s="13" t="s">
        <v>5</v>
      </c>
      <c r="S24" s="13" t="s">
        <v>6</v>
      </c>
      <c r="V24" s="4"/>
      <c r="W24" s="61"/>
      <c r="X24" s="13" t="s">
        <v>4</v>
      </c>
      <c r="Y24" s="13" t="s">
        <v>5</v>
      </c>
      <c r="Z24" s="13" t="s">
        <v>6</v>
      </c>
    </row>
    <row r="25" spans="1:26" x14ac:dyDescent="0.25">
      <c r="A25" s="25"/>
      <c r="B25" s="1" t="s">
        <v>7</v>
      </c>
      <c r="C25" s="2">
        <f>NPV($B$2,C31:C44)+C73+E47</f>
        <v>444581.01166083582</v>
      </c>
      <c r="D25" s="2">
        <f>NPV($B$2,D31:D44)+NPV($B$2,E31:E44)</f>
        <v>364293.94374237699</v>
      </c>
      <c r="E25" s="2">
        <f>C25-D25</f>
        <v>80287.067918458837</v>
      </c>
      <c r="F25" s="51"/>
      <c r="H25" s="25"/>
      <c r="I25" s="53" t="s">
        <v>7</v>
      </c>
      <c r="J25" s="2">
        <f>NPV($B$2,J31:J44)+J73+L47</f>
        <v>398028.98072051757</v>
      </c>
      <c r="K25" s="2">
        <f>NPV($B$2,K31:K44)+NPV($B$2,L31:L44)</f>
        <v>364293.94374237699</v>
      </c>
      <c r="L25" s="2">
        <f>J25-K25</f>
        <v>33735.03697814059</v>
      </c>
      <c r="O25" s="25"/>
      <c r="P25" s="53" t="s">
        <v>7</v>
      </c>
      <c r="Q25" s="2">
        <f>NPV($B$2,Q31:Q44)+Q73+S47</f>
        <v>417633.21285553073</v>
      </c>
      <c r="R25" s="2">
        <f>NPV($B$2,R31:R44)+NPV($B$2,S31:S44)</f>
        <v>364293.94374237699</v>
      </c>
      <c r="S25" s="2">
        <f>Q25-R25</f>
        <v>53339.269113153743</v>
      </c>
      <c r="V25" s="25"/>
      <c r="W25" s="53" t="s">
        <v>7</v>
      </c>
      <c r="X25" s="2">
        <f>NPV($B$2,X31:X44)+X73+Z47</f>
        <v>513963.72583474207</v>
      </c>
      <c r="Y25" s="2">
        <f>NPV($B$2,Y31:Y44)+NPV($B$2,Z31:Z44)</f>
        <v>364293.94374237699</v>
      </c>
      <c r="Z25" s="2">
        <f>X25-Y25</f>
        <v>149669.78209236509</v>
      </c>
    </row>
    <row r="26" spans="1:26" s="37" customFormat="1" ht="15.75" thickBot="1" x14ac:dyDescent="0.3">
      <c r="A26" s="36"/>
      <c r="C26" s="36"/>
      <c r="D26" s="36"/>
      <c r="E26" s="36"/>
      <c r="H26" s="36"/>
      <c r="J26" s="36"/>
      <c r="K26" s="36"/>
      <c r="L26" s="36"/>
      <c r="O26" s="36"/>
      <c r="Q26" s="36"/>
      <c r="R26" s="36"/>
      <c r="S26" s="36"/>
      <c r="V26" s="36"/>
      <c r="X26" s="36"/>
      <c r="Y26" s="36"/>
      <c r="Z26" s="36"/>
    </row>
    <row r="27" spans="1:26" s="3" customFormat="1" x14ac:dyDescent="0.25">
      <c r="A27" s="4"/>
      <c r="C27" s="4"/>
      <c r="D27" s="4"/>
      <c r="E27" s="4"/>
      <c r="H27" s="4"/>
      <c r="I27" s="65"/>
      <c r="J27" s="4"/>
      <c r="K27" s="4"/>
      <c r="L27" s="4"/>
      <c r="O27" s="4"/>
      <c r="P27" s="65"/>
      <c r="Q27" s="4"/>
      <c r="R27" s="4"/>
      <c r="S27" s="4"/>
      <c r="V27" s="4"/>
      <c r="W27" s="65"/>
      <c r="X27" s="4"/>
      <c r="Y27" s="4"/>
      <c r="Z27" s="4"/>
    </row>
    <row r="28" spans="1:26" s="65" customFormat="1" x14ac:dyDescent="0.25">
      <c r="A28" s="74" t="s">
        <v>85</v>
      </c>
      <c r="C28" s="4"/>
      <c r="D28" s="4"/>
      <c r="E28" s="4"/>
      <c r="H28" s="74"/>
      <c r="J28" s="4"/>
      <c r="K28" s="4"/>
      <c r="L28" s="4"/>
      <c r="O28" s="74"/>
      <c r="Q28" s="4"/>
      <c r="R28" s="4"/>
      <c r="S28" s="4"/>
      <c r="V28" s="74"/>
      <c r="X28" s="4"/>
      <c r="Y28" s="4"/>
      <c r="Z28" s="4"/>
    </row>
    <row r="29" spans="1:26" s="61" customFormat="1" x14ac:dyDescent="0.25">
      <c r="A29" s="46" t="s">
        <v>9</v>
      </c>
      <c r="B29" s="27"/>
      <c r="C29" s="27"/>
      <c r="D29" s="27"/>
      <c r="E29" s="28"/>
      <c r="H29" s="46" t="s">
        <v>89</v>
      </c>
      <c r="I29" s="27"/>
      <c r="J29" s="27"/>
      <c r="K29" s="27"/>
      <c r="L29" s="28"/>
      <c r="O29" s="46" t="s">
        <v>9</v>
      </c>
      <c r="P29" s="27"/>
      <c r="Q29" s="27"/>
      <c r="R29" s="27"/>
      <c r="S29" s="28"/>
      <c r="V29" s="46" t="s">
        <v>9</v>
      </c>
      <c r="W29" s="27"/>
      <c r="X29" s="27"/>
      <c r="Y29" s="27"/>
      <c r="Z29" s="28"/>
    </row>
    <row r="30" spans="1:26" s="82" customFormat="1" x14ac:dyDescent="0.25">
      <c r="A30" s="13" t="s">
        <v>0</v>
      </c>
      <c r="B30" s="13" t="s">
        <v>1</v>
      </c>
      <c r="C30" s="13" t="s">
        <v>84</v>
      </c>
      <c r="D30" s="13" t="s">
        <v>5</v>
      </c>
      <c r="E30" s="53" t="s">
        <v>74</v>
      </c>
      <c r="F30" s="83"/>
      <c r="H30" s="13" t="s">
        <v>0</v>
      </c>
      <c r="I30" s="13" t="s">
        <v>1</v>
      </c>
      <c r="J30" s="13" t="s">
        <v>84</v>
      </c>
      <c r="K30" s="13" t="s">
        <v>5</v>
      </c>
      <c r="L30" s="53" t="s">
        <v>74</v>
      </c>
      <c r="M30" s="83"/>
      <c r="N30" s="83"/>
      <c r="O30" s="13" t="s">
        <v>0</v>
      </c>
      <c r="P30" s="13" t="s">
        <v>1</v>
      </c>
      <c r="Q30" s="13" t="s">
        <v>84</v>
      </c>
      <c r="R30" s="13" t="s">
        <v>5</v>
      </c>
      <c r="S30" s="53" t="s">
        <v>74</v>
      </c>
      <c r="V30" s="13" t="s">
        <v>0</v>
      </c>
      <c r="W30" s="13" t="s">
        <v>1</v>
      </c>
      <c r="X30" s="13" t="s">
        <v>84</v>
      </c>
      <c r="Y30" s="13" t="s">
        <v>5</v>
      </c>
      <c r="Z30" s="53" t="s">
        <v>74</v>
      </c>
    </row>
    <row r="31" spans="1:26" s="61" customFormat="1" x14ac:dyDescent="0.25">
      <c r="A31" s="95" t="s">
        <v>10</v>
      </c>
      <c r="B31" s="53">
        <v>2020</v>
      </c>
      <c r="C31" s="2">
        <f t="shared" ref="C31:C43" si="4">IF(B31&gt;=Option_C2_Year,SUM(B93:F93),SUM(B111:F111))</f>
        <v>2979.8963841714285</v>
      </c>
      <c r="D31" s="2">
        <f>IF(AND(B31&gt;=Option_C2_Year,B31&lt;=(Option_C2_Year+($B$4-1))),-PMT($B$2,$B$4,$B$3,,0),0)</f>
        <v>0</v>
      </c>
      <c r="E31" s="2">
        <f>D31*Assumptions!$D$33</f>
        <v>0</v>
      </c>
      <c r="F31" s="66"/>
      <c r="H31" s="95" t="s">
        <v>10</v>
      </c>
      <c r="I31" s="53">
        <v>2020</v>
      </c>
      <c r="J31" s="2">
        <f t="shared" ref="J31:J43" si="5">IF(I31&gt;=Option_C2_Year,SUM(I93:M93),SUM(I111:M111))</f>
        <v>2887.5407317857098</v>
      </c>
      <c r="K31" s="2">
        <f t="shared" ref="K31:K42" si="6">IF(AND(I31&gt;=Option_C2_Year,I31&lt;=(Option_C2_Year+($B$4-1))),-PMT($B$2,$B$4,$B$3,,0),0)</f>
        <v>0</v>
      </c>
      <c r="L31" s="2">
        <f>K31*Assumptions!$D$33</f>
        <v>0</v>
      </c>
      <c r="M31" s="63"/>
      <c r="N31" s="63"/>
      <c r="O31" s="95" t="s">
        <v>10</v>
      </c>
      <c r="P31" s="53">
        <v>2020</v>
      </c>
      <c r="Q31" s="2">
        <f t="shared" ref="Q31:Q43" si="7">IF(P31&gt;=Option_C2_Year,SUM(P93:T93),SUM(P111:T111))</f>
        <v>174.23403594400588</v>
      </c>
      <c r="R31" s="2">
        <f t="shared" ref="R31:R43" si="8">IF(AND(P31&gt;=Option_C2_Year,P31&lt;=(Option_C2_Year+($B$4-1))),-PMT($B$2,$B$4,$B$3,,0),0)</f>
        <v>0</v>
      </c>
      <c r="S31" s="2">
        <f>R31*Assumptions!$D$33</f>
        <v>0</v>
      </c>
      <c r="V31" s="95" t="s">
        <v>10</v>
      </c>
      <c r="W31" s="53">
        <v>2020</v>
      </c>
      <c r="X31" s="2">
        <f t="shared" ref="X31:X43" si="9">IF(W31&gt;=Option_C2_Year,SUM(W93:AA93),SUM(W111:AA111))</f>
        <v>0</v>
      </c>
      <c r="Y31" s="2">
        <f t="shared" ref="Y31:Y43" si="10">IF(AND(W31&gt;=Option_C2_Year,W31&lt;=(Option_C2_Year+($B$4-1))),-PMT($B$2,$B$4,$B$3,,0),0)</f>
        <v>0</v>
      </c>
      <c r="Z31" s="2">
        <f>Y31*Assumptions!$D$33</f>
        <v>0</v>
      </c>
    </row>
    <row r="32" spans="1:26" s="61" customFormat="1" x14ac:dyDescent="0.25">
      <c r="A32" s="96"/>
      <c r="B32" s="53">
        <v>2021</v>
      </c>
      <c r="C32" s="2">
        <f t="shared" si="4"/>
        <v>-7385.4104361963036</v>
      </c>
      <c r="D32" s="2">
        <f t="shared" ref="D32:D43" si="11">IF(AND(B32&gt;=Option_C2_Year,B32&lt;=(Option_C2_Year+($B$4-1))),-PMT($B$2,$B$4,$B$3,,0),0)</f>
        <v>0</v>
      </c>
      <c r="E32" s="2">
        <f>D32*Assumptions!$D$33</f>
        <v>0</v>
      </c>
      <c r="F32" s="48"/>
      <c r="H32" s="96"/>
      <c r="I32" s="53">
        <v>2021</v>
      </c>
      <c r="J32" s="2">
        <f t="shared" si="5"/>
        <v>-7272.2234018583331</v>
      </c>
      <c r="K32" s="2">
        <f t="shared" si="6"/>
        <v>0</v>
      </c>
      <c r="L32" s="2">
        <f>K32*Assumptions!$D$33</f>
        <v>0</v>
      </c>
      <c r="O32" s="96"/>
      <c r="P32" s="53">
        <v>2021</v>
      </c>
      <c r="Q32" s="2">
        <f t="shared" si="7"/>
        <v>-7203.3304420248605</v>
      </c>
      <c r="R32" s="2">
        <f t="shared" si="8"/>
        <v>0</v>
      </c>
      <c r="S32" s="2">
        <f>R32*Assumptions!$D$33</f>
        <v>0</v>
      </c>
      <c r="V32" s="96"/>
      <c r="W32" s="53">
        <v>2021</v>
      </c>
      <c r="X32" s="2">
        <f t="shared" si="9"/>
        <v>-10753.284428262647</v>
      </c>
      <c r="Y32" s="2">
        <f t="shared" si="10"/>
        <v>0</v>
      </c>
      <c r="Z32" s="2">
        <f>Y32*Assumptions!$D$33</f>
        <v>0</v>
      </c>
    </row>
    <row r="33" spans="1:26" s="61" customFormat="1" x14ac:dyDescent="0.25">
      <c r="A33" s="96"/>
      <c r="B33" s="53">
        <v>2022</v>
      </c>
      <c r="C33" s="2">
        <f t="shared" si="4"/>
        <v>-15478.921648694544</v>
      </c>
      <c r="D33" s="2">
        <f t="shared" si="11"/>
        <v>0</v>
      </c>
      <c r="E33" s="2">
        <f>D33*Assumptions!$D$33</f>
        <v>0</v>
      </c>
      <c r="F33" s="48"/>
      <c r="H33" s="96"/>
      <c r="I33" s="53">
        <v>2022</v>
      </c>
      <c r="J33" s="2">
        <f t="shared" si="5"/>
        <v>-15324.569634523643</v>
      </c>
      <c r="K33" s="2">
        <f>IF(AND(I33&gt;=Option_C2_Year,I33&lt;=(Option_C2_Year+($B$4-1))),-PMT($B$2,$B$4,$B$3,,0),0)</f>
        <v>0</v>
      </c>
      <c r="L33" s="2">
        <f>K33*Assumptions!$D$33</f>
        <v>0</v>
      </c>
      <c r="O33" s="96"/>
      <c r="P33" s="53">
        <v>2022</v>
      </c>
      <c r="Q33" s="2">
        <f t="shared" si="7"/>
        <v>-10922.327399780566</v>
      </c>
      <c r="R33" s="2">
        <f t="shared" si="8"/>
        <v>0</v>
      </c>
      <c r="S33" s="2">
        <f>R33*Assumptions!$D$33</f>
        <v>0</v>
      </c>
      <c r="V33" s="96"/>
      <c r="W33" s="53">
        <v>2022</v>
      </c>
      <c r="X33" s="2">
        <f t="shared" si="9"/>
        <v>-34870.924877442827</v>
      </c>
      <c r="Y33" s="2">
        <f t="shared" si="10"/>
        <v>0</v>
      </c>
      <c r="Z33" s="2">
        <f>Y33*Assumptions!$D$33</f>
        <v>0</v>
      </c>
    </row>
    <row r="34" spans="1:26" s="61" customFormat="1" x14ac:dyDescent="0.25">
      <c r="A34" s="96"/>
      <c r="B34" s="53">
        <v>2023</v>
      </c>
      <c r="C34" s="2">
        <f t="shared" si="4"/>
        <v>-53299.120466974258</v>
      </c>
      <c r="D34" s="2">
        <f t="shared" si="11"/>
        <v>0</v>
      </c>
      <c r="E34" s="2">
        <f>D34*Assumptions!$D$33</f>
        <v>0</v>
      </c>
      <c r="F34" s="64"/>
      <c r="H34" s="96"/>
      <c r="I34" s="53">
        <v>2023</v>
      </c>
      <c r="J34" s="2">
        <f t="shared" si="5"/>
        <v>-50903.479973725451</v>
      </c>
      <c r="K34" s="2">
        <f t="shared" si="6"/>
        <v>0</v>
      </c>
      <c r="L34" s="2">
        <f>K34*Assumptions!$D$33</f>
        <v>0</v>
      </c>
      <c r="O34" s="96"/>
      <c r="P34" s="53">
        <v>2023</v>
      </c>
      <c r="Q34" s="2">
        <f t="shared" si="7"/>
        <v>-9744.2634224900539</v>
      </c>
      <c r="R34" s="2">
        <f t="shared" si="8"/>
        <v>0</v>
      </c>
      <c r="S34" s="2">
        <f>R34*Assumptions!$D$33</f>
        <v>0</v>
      </c>
      <c r="V34" s="96"/>
      <c r="W34" s="53">
        <v>2023</v>
      </c>
      <c r="X34" s="2">
        <f t="shared" si="9"/>
        <v>-131032.21362490779</v>
      </c>
      <c r="Y34" s="2">
        <f t="shared" si="10"/>
        <v>0</v>
      </c>
      <c r="Z34" s="2">
        <f>Y34*Assumptions!$D$33</f>
        <v>0</v>
      </c>
    </row>
    <row r="35" spans="1:26" s="61" customFormat="1" x14ac:dyDescent="0.25">
      <c r="A35" s="96"/>
      <c r="B35" s="53">
        <v>2024</v>
      </c>
      <c r="C35" s="2">
        <f t="shared" si="4"/>
        <v>-581.07326461176126</v>
      </c>
      <c r="D35" s="2">
        <f t="shared" si="11"/>
        <v>0</v>
      </c>
      <c r="E35" s="2">
        <f>D35*Assumptions!$D$33</f>
        <v>0</v>
      </c>
      <c r="H35" s="96"/>
      <c r="I35" s="53">
        <v>2024</v>
      </c>
      <c r="J35" s="2">
        <f t="shared" si="5"/>
        <v>1264.4401356084782</v>
      </c>
      <c r="K35" s="2">
        <f t="shared" si="6"/>
        <v>0</v>
      </c>
      <c r="L35" s="2">
        <f>K35*Assumptions!$D$33</f>
        <v>0</v>
      </c>
      <c r="O35" s="96"/>
      <c r="P35" s="53">
        <v>2024</v>
      </c>
      <c r="Q35" s="2">
        <f t="shared" si="7"/>
        <v>14104.348904757346</v>
      </c>
      <c r="R35" s="2">
        <f t="shared" si="8"/>
        <v>0</v>
      </c>
      <c r="S35" s="2">
        <f>R35*Assumptions!$D$33</f>
        <v>0</v>
      </c>
      <c r="V35" s="96"/>
      <c r="W35" s="53">
        <v>2024</v>
      </c>
      <c r="X35" s="2">
        <f t="shared" si="9"/>
        <v>-27423.479550439406</v>
      </c>
      <c r="Y35" s="2">
        <f t="shared" si="10"/>
        <v>0</v>
      </c>
      <c r="Z35" s="2">
        <f>Y35*Assumptions!$D$33</f>
        <v>0</v>
      </c>
    </row>
    <row r="36" spans="1:26" s="61" customFormat="1" x14ac:dyDescent="0.25">
      <c r="A36" s="96"/>
      <c r="B36" s="53">
        <v>2025</v>
      </c>
      <c r="C36" s="2">
        <f t="shared" si="4"/>
        <v>-18665.585616984492</v>
      </c>
      <c r="D36" s="2">
        <f t="shared" si="11"/>
        <v>36243.372294909568</v>
      </c>
      <c r="E36" s="2">
        <f>D36*Assumptions!$D$33</f>
        <v>309.1221677520918</v>
      </c>
      <c r="H36" s="96"/>
      <c r="I36" s="53">
        <v>2025</v>
      </c>
      <c r="J36" s="2">
        <f t="shared" si="5"/>
        <v>10005.916417781453</v>
      </c>
      <c r="K36" s="2">
        <f t="shared" si="6"/>
        <v>36243.372294909568</v>
      </c>
      <c r="L36" s="2">
        <f>K36*Assumptions!$D$33</f>
        <v>309.1221677520918</v>
      </c>
      <c r="O36" s="96"/>
      <c r="P36" s="53">
        <v>2025</v>
      </c>
      <c r="Q36" s="2">
        <f t="shared" si="7"/>
        <v>6449.53978762513</v>
      </c>
      <c r="R36" s="2">
        <f t="shared" si="8"/>
        <v>36243.372294909568</v>
      </c>
      <c r="S36" s="2">
        <f>R36*Assumptions!$D$33</f>
        <v>309.1221677520918</v>
      </c>
      <c r="V36" s="96"/>
      <c r="W36" s="53">
        <v>2025</v>
      </c>
      <c r="X36" s="2">
        <f t="shared" si="9"/>
        <v>-13956.064063581609</v>
      </c>
      <c r="Y36" s="2">
        <f t="shared" si="10"/>
        <v>36243.372294909568</v>
      </c>
      <c r="Z36" s="2">
        <f>Y36*Assumptions!$D$33</f>
        <v>309.1221677520918</v>
      </c>
    </row>
    <row r="37" spans="1:26" s="61" customFormat="1" x14ac:dyDescent="0.25">
      <c r="A37" s="96"/>
      <c r="B37" s="53">
        <v>2026</v>
      </c>
      <c r="C37" s="2">
        <f t="shared" si="4"/>
        <v>-10106.276990535225</v>
      </c>
      <c r="D37" s="2">
        <f t="shared" si="11"/>
        <v>36243.372294909568</v>
      </c>
      <c r="E37" s="2">
        <f>D37*Assumptions!$D$33</f>
        <v>309.1221677520918</v>
      </c>
      <c r="H37" s="96"/>
      <c r="I37" s="53">
        <v>2026</v>
      </c>
      <c r="J37" s="2">
        <f t="shared" si="5"/>
        <v>9925.1662059279042</v>
      </c>
      <c r="K37" s="2">
        <f t="shared" si="6"/>
        <v>36243.372294909568</v>
      </c>
      <c r="L37" s="2">
        <f>K37*Assumptions!$D$33</f>
        <v>309.1221677520918</v>
      </c>
      <c r="O37" s="96"/>
      <c r="P37" s="53">
        <v>2026</v>
      </c>
      <c r="Q37" s="2">
        <f t="shared" si="7"/>
        <v>1350.9439508350715</v>
      </c>
      <c r="R37" s="2">
        <f t="shared" si="8"/>
        <v>36243.372294909568</v>
      </c>
      <c r="S37" s="2">
        <f>R37*Assumptions!$D$33</f>
        <v>309.1221677520918</v>
      </c>
      <c r="V37" s="96"/>
      <c r="W37" s="53">
        <v>2026</v>
      </c>
      <c r="X37" s="2">
        <f t="shared" si="9"/>
        <v>-8629.5888642970385</v>
      </c>
      <c r="Y37" s="2">
        <f t="shared" si="10"/>
        <v>36243.372294909568</v>
      </c>
      <c r="Z37" s="2">
        <f>Y37*Assumptions!$D$33</f>
        <v>309.1221677520918</v>
      </c>
    </row>
    <row r="38" spans="1:26" s="61" customFormat="1" x14ac:dyDescent="0.25">
      <c r="A38" s="96"/>
      <c r="B38" s="53">
        <v>2027</v>
      </c>
      <c r="C38" s="2">
        <f t="shared" si="4"/>
        <v>-7141.3437730219011</v>
      </c>
      <c r="D38" s="2">
        <f t="shared" si="11"/>
        <v>36243.372294909568</v>
      </c>
      <c r="E38" s="2">
        <f>D38*Assumptions!$D$33</f>
        <v>309.1221677520918</v>
      </c>
      <c r="H38" s="96"/>
      <c r="I38" s="53">
        <v>2027</v>
      </c>
      <c r="J38" s="2">
        <f t="shared" si="5"/>
        <v>6119.9075595342365</v>
      </c>
      <c r="K38" s="2">
        <f t="shared" si="6"/>
        <v>36243.372294909568</v>
      </c>
      <c r="L38" s="2">
        <f>K38*Assumptions!$D$33</f>
        <v>309.1221677520918</v>
      </c>
      <c r="O38" s="96"/>
      <c r="P38" s="53">
        <v>2027</v>
      </c>
      <c r="Q38" s="2">
        <f t="shared" si="7"/>
        <v>2481.0561477290612</v>
      </c>
      <c r="R38" s="2">
        <f t="shared" si="8"/>
        <v>36243.372294909568</v>
      </c>
      <c r="S38" s="2">
        <f>R38*Assumptions!$D$33</f>
        <v>309.1221677520918</v>
      </c>
      <c r="V38" s="96"/>
      <c r="W38" s="53">
        <v>2027</v>
      </c>
      <c r="X38" s="2">
        <f t="shared" si="9"/>
        <v>-8007.5121919745143</v>
      </c>
      <c r="Y38" s="2">
        <f t="shared" si="10"/>
        <v>36243.372294909568</v>
      </c>
      <c r="Z38" s="2">
        <f>Y38*Assumptions!$D$33</f>
        <v>309.1221677520918</v>
      </c>
    </row>
    <row r="39" spans="1:26" s="61" customFormat="1" x14ac:dyDescent="0.25">
      <c r="A39" s="96"/>
      <c r="B39" s="53">
        <v>2028</v>
      </c>
      <c r="C39" s="2">
        <f t="shared" si="4"/>
        <v>-8390.9951586379975</v>
      </c>
      <c r="D39" s="2">
        <f t="shared" si="11"/>
        <v>36243.372294909568</v>
      </c>
      <c r="E39" s="2">
        <f>D39*Assumptions!$D$33</f>
        <v>309.1221677520918</v>
      </c>
      <c r="H39" s="96"/>
      <c r="I39" s="53">
        <v>2028</v>
      </c>
      <c r="J39" s="2">
        <f t="shared" si="5"/>
        <v>6133.5649802608241</v>
      </c>
      <c r="K39" s="2">
        <f t="shared" si="6"/>
        <v>36243.372294909568</v>
      </c>
      <c r="L39" s="2">
        <f>K39*Assumptions!$D$33</f>
        <v>309.1221677520918</v>
      </c>
      <c r="O39" s="96"/>
      <c r="P39" s="53">
        <v>2028</v>
      </c>
      <c r="Q39" s="2">
        <f t="shared" si="7"/>
        <v>1526.9644369037414</v>
      </c>
      <c r="R39" s="2">
        <f t="shared" si="8"/>
        <v>36243.372294909568</v>
      </c>
      <c r="S39" s="2">
        <f>R39*Assumptions!$D$33</f>
        <v>309.1221677520918</v>
      </c>
      <c r="V39" s="96"/>
      <c r="W39" s="53">
        <v>2028</v>
      </c>
      <c r="X39" s="2">
        <f t="shared" si="9"/>
        <v>-6205.0468052592187</v>
      </c>
      <c r="Y39" s="2">
        <f t="shared" si="10"/>
        <v>36243.372294909568</v>
      </c>
      <c r="Z39" s="2">
        <f>Y39*Assumptions!$D$33</f>
        <v>309.1221677520918</v>
      </c>
    </row>
    <row r="40" spans="1:26" s="61" customFormat="1" x14ac:dyDescent="0.25">
      <c r="A40" s="96"/>
      <c r="B40" s="53">
        <v>2029</v>
      </c>
      <c r="C40" s="2">
        <f t="shared" si="4"/>
        <v>2284.0820892611446</v>
      </c>
      <c r="D40" s="2">
        <f t="shared" si="11"/>
        <v>36243.372294909568</v>
      </c>
      <c r="E40" s="2">
        <f>D40*Assumptions!$D$33</f>
        <v>309.1221677520918</v>
      </c>
      <c r="H40" s="96"/>
      <c r="I40" s="53">
        <v>2029</v>
      </c>
      <c r="J40" s="2">
        <f t="shared" si="5"/>
        <v>7894.1361466502567</v>
      </c>
      <c r="K40" s="2">
        <f t="shared" si="6"/>
        <v>36243.372294909568</v>
      </c>
      <c r="L40" s="2">
        <f>K40*Assumptions!$D$33</f>
        <v>309.1221677520918</v>
      </c>
      <c r="O40" s="96"/>
      <c r="P40" s="53">
        <v>2029</v>
      </c>
      <c r="Q40" s="2">
        <f t="shared" si="7"/>
        <v>6297.6869451465172</v>
      </c>
      <c r="R40" s="2">
        <f t="shared" si="8"/>
        <v>36243.372294909568</v>
      </c>
      <c r="S40" s="2">
        <f>R40*Assumptions!$D$33</f>
        <v>309.1221677520918</v>
      </c>
      <c r="V40" s="96"/>
      <c r="W40" s="53">
        <v>2029</v>
      </c>
      <c r="X40" s="2">
        <f t="shared" si="9"/>
        <v>35936.656521790312</v>
      </c>
      <c r="Y40" s="2">
        <f t="shared" si="10"/>
        <v>36243.372294909568</v>
      </c>
      <c r="Z40" s="2">
        <f>Y40*Assumptions!$D$33</f>
        <v>309.1221677520918</v>
      </c>
    </row>
    <row r="41" spans="1:26" s="61" customFormat="1" x14ac:dyDescent="0.25">
      <c r="A41" s="96"/>
      <c r="B41" s="53">
        <v>2030</v>
      </c>
      <c r="C41" s="2">
        <f t="shared" si="4"/>
        <v>7009.0283995210848</v>
      </c>
      <c r="D41" s="2">
        <f t="shared" si="11"/>
        <v>36243.372294909568</v>
      </c>
      <c r="E41" s="2">
        <f>D41*Assumptions!$D$33</f>
        <v>309.1221677520918</v>
      </c>
      <c r="H41" s="96"/>
      <c r="I41" s="53">
        <v>2030</v>
      </c>
      <c r="J41" s="2">
        <f t="shared" si="5"/>
        <v>7342.4453122651903</v>
      </c>
      <c r="K41" s="2">
        <f t="shared" si="6"/>
        <v>36243.372294909568</v>
      </c>
      <c r="L41" s="2">
        <f>K41*Assumptions!$D$33</f>
        <v>309.1221677520918</v>
      </c>
      <c r="O41" s="96"/>
      <c r="P41" s="53">
        <v>2030</v>
      </c>
      <c r="Q41" s="2">
        <f t="shared" si="7"/>
        <v>6159.0523847347959</v>
      </c>
      <c r="R41" s="2">
        <f t="shared" si="8"/>
        <v>36243.372294909568</v>
      </c>
      <c r="S41" s="2">
        <f>R41*Assumptions!$D$33</f>
        <v>309.1221677520918</v>
      </c>
      <c r="V41" s="96"/>
      <c r="W41" s="53">
        <v>2030</v>
      </c>
      <c r="X41" s="2">
        <f t="shared" si="9"/>
        <v>32690.70695057101</v>
      </c>
      <c r="Y41" s="2">
        <f t="shared" si="10"/>
        <v>36243.372294909568</v>
      </c>
      <c r="Z41" s="2">
        <f>Y41*Assumptions!$D$33</f>
        <v>309.1221677520918</v>
      </c>
    </row>
    <row r="42" spans="1:26" s="61" customFormat="1" x14ac:dyDescent="0.25">
      <c r="A42" s="96"/>
      <c r="B42" s="53">
        <v>2031</v>
      </c>
      <c r="C42" s="2">
        <f t="shared" si="4"/>
        <v>9353.8805726692444</v>
      </c>
      <c r="D42" s="2">
        <f t="shared" si="11"/>
        <v>36243.372294909568</v>
      </c>
      <c r="E42" s="2">
        <f>D42*Assumptions!$D$33</f>
        <v>309.1221677520918</v>
      </c>
      <c r="H42" s="96"/>
      <c r="I42" s="53">
        <v>2031</v>
      </c>
      <c r="J42" s="2">
        <f t="shared" si="5"/>
        <v>10494.713031973894</v>
      </c>
      <c r="K42" s="2">
        <f t="shared" si="6"/>
        <v>36243.372294909568</v>
      </c>
      <c r="L42" s="2">
        <f>K42*Assumptions!$D$33</f>
        <v>309.1221677520918</v>
      </c>
      <c r="O42" s="96"/>
      <c r="P42" s="53">
        <v>2031</v>
      </c>
      <c r="Q42" s="2">
        <f t="shared" si="7"/>
        <v>4453.5243186301886</v>
      </c>
      <c r="R42" s="2">
        <f t="shared" si="8"/>
        <v>36243.372294909568</v>
      </c>
      <c r="S42" s="2">
        <f>R42*Assumptions!$D$33</f>
        <v>309.1221677520918</v>
      </c>
      <c r="V42" s="96"/>
      <c r="W42" s="53">
        <v>2031</v>
      </c>
      <c r="X42" s="2">
        <f t="shared" si="9"/>
        <v>8735.5274809513357</v>
      </c>
      <c r="Y42" s="2">
        <f t="shared" si="10"/>
        <v>36243.372294909568</v>
      </c>
      <c r="Z42" s="2">
        <f>Y42*Assumptions!$D$33</f>
        <v>309.1221677520918</v>
      </c>
    </row>
    <row r="43" spans="1:26" s="61" customFormat="1" x14ac:dyDescent="0.25">
      <c r="A43" s="96"/>
      <c r="B43" s="53">
        <v>2032</v>
      </c>
      <c r="C43" s="2">
        <f t="shared" si="4"/>
        <v>10312.312391163221</v>
      </c>
      <c r="D43" s="2">
        <f t="shared" si="11"/>
        <v>36243.372294909568</v>
      </c>
      <c r="E43" s="2">
        <f>D43*Assumptions!$D$33</f>
        <v>309.1221677520918</v>
      </c>
      <c r="H43" s="96"/>
      <c r="I43" s="53">
        <v>2032</v>
      </c>
      <c r="J43" s="2">
        <f t="shared" si="5"/>
        <v>8369.6654617536406</v>
      </c>
      <c r="K43" s="2">
        <f>IF(AND(I43&gt;=Option_C2_Year,I43&lt;=(Option_C2_Year+($B$4-1))),-PMT($B$2,$B$4,$B$3,,0),0)</f>
        <v>36243.372294909568</v>
      </c>
      <c r="L43" s="2">
        <f>K43*Assumptions!$D$33</f>
        <v>309.1221677520918</v>
      </c>
      <c r="O43" s="96"/>
      <c r="P43" s="53">
        <v>2032</v>
      </c>
      <c r="Q43" s="2">
        <f t="shared" si="7"/>
        <v>4800.0044209127227</v>
      </c>
      <c r="R43" s="2">
        <f t="shared" si="8"/>
        <v>36243.372294909568</v>
      </c>
      <c r="S43" s="2">
        <f>R43*Assumptions!$D$33</f>
        <v>309.1221677520918</v>
      </c>
      <c r="V43" s="96"/>
      <c r="W43" s="53">
        <v>2032</v>
      </c>
      <c r="X43" s="2">
        <f t="shared" si="9"/>
        <v>32923.062290777598</v>
      </c>
      <c r="Y43" s="2">
        <f t="shared" si="10"/>
        <v>36243.372294909568</v>
      </c>
      <c r="Z43" s="2">
        <f>Y43*Assumptions!$D$33</f>
        <v>309.1221677520918</v>
      </c>
    </row>
    <row r="44" spans="1:26" s="61" customFormat="1" x14ac:dyDescent="0.25">
      <c r="A44" s="97"/>
      <c r="B44" s="53" t="s">
        <v>44</v>
      </c>
      <c r="C44" s="2">
        <f>-PV($B$2,(Network_option_lifespan-(B43-Option_C2_Year)),AVERAGE(C41:C43),,0)</f>
        <v>136098.51714251621</v>
      </c>
      <c r="D44" s="2">
        <f>-PV($B$2,($B$4-COUNTIF(D31:D43,"&gt;"&amp;0)),$D$43,,0)</f>
        <v>436427.52923216217</v>
      </c>
      <c r="E44" s="2">
        <f>-PV($B$2,($B$4-COUNTIF(E31:E43,"&gt;"&amp;0)),$E$43,,0)</f>
        <v>3722.3198438927711</v>
      </c>
      <c r="H44" s="97"/>
      <c r="I44" s="53" t="s">
        <v>44</v>
      </c>
      <c r="J44" s="2">
        <f>-PV($B$2,(Network_option_lifespan-(I43-Option_C2_Year)),AVERAGE(J41:J43),,0)</f>
        <v>133708.72580314375</v>
      </c>
      <c r="K44" s="2">
        <f>-PV($B$2,($B$4-COUNTIF(K31:K43,"&gt;"&amp;0)),$D$43,,0)</f>
        <v>436427.52923216217</v>
      </c>
      <c r="L44" s="2">
        <f>-PV($B$2,($B$4-COUNTIF(L31:L43,"&gt;"&amp;0)),$E$43,,0)</f>
        <v>3722.3198438927711</v>
      </c>
      <c r="O44" s="97"/>
      <c r="P44" s="53" t="s">
        <v>44</v>
      </c>
      <c r="Q44" s="2">
        <f>-PV($B$2,(Network_option_lifespan-(P43-Option_C2_Year)),AVERAGE(Q41:Q43),,0)</f>
        <v>78635.877385244748</v>
      </c>
      <c r="R44" s="2">
        <f>-PV($B$2,($B$4-COUNTIF(R31:R43,"&gt;"&amp;0)),$D$43,,0)</f>
        <v>436427.52923216217</v>
      </c>
      <c r="S44" s="2">
        <f>-PV($B$2,($B$4-COUNTIF(S31:S43,"&gt;"&amp;0)),$E$43,,0)</f>
        <v>3722.3198438927711</v>
      </c>
      <c r="V44" s="97"/>
      <c r="W44" s="53" t="s">
        <v>44</v>
      </c>
      <c r="X44" s="2">
        <f>-PV($B$2,(Network_option_lifespan-(W43-Option_C2_Year)),AVERAGE(X41:X43),,0)</f>
        <v>379334.39789164119</v>
      </c>
      <c r="Y44" s="2">
        <f>-PV($B$2,($B$4-COUNTIF(Y31:Y43,"&gt;"&amp;0)),$D$43,,0)</f>
        <v>436427.52923216217</v>
      </c>
      <c r="Z44" s="2">
        <f>-PV($B$2,($B$4-COUNTIF(Z31:Z43,"&gt;"&amp;0)),$E$43,,0)</f>
        <v>3722.3198438927711</v>
      </c>
    </row>
    <row r="45" spans="1:26" s="61" customFormat="1" x14ac:dyDescent="0.25"/>
    <row r="46" spans="1:26" s="61" customFormat="1" x14ac:dyDescent="0.25">
      <c r="A46" s="62" t="s">
        <v>82</v>
      </c>
    </row>
    <row r="47" spans="1:26" s="61" customFormat="1" x14ac:dyDescent="0.25">
      <c r="A47" s="46" t="s">
        <v>9</v>
      </c>
      <c r="B47" s="46"/>
      <c r="C47" s="88">
        <f>NPV($B$2,C49:C70)</f>
        <v>118883.55231663062</v>
      </c>
      <c r="D47" s="88">
        <f>NPV($B$2,D49:D69)</f>
        <v>0</v>
      </c>
      <c r="E47" s="88">
        <f>C47-D47</f>
        <v>118883.55231663062</v>
      </c>
      <c r="H47" s="46" t="s">
        <v>89</v>
      </c>
      <c r="I47" s="27"/>
      <c r="J47" s="88">
        <f>NPV($B$2,J49:J70)</f>
        <v>118883.55231663062</v>
      </c>
      <c r="K47" s="88">
        <f>NPV($B$2,K49:K69)</f>
        <v>0</v>
      </c>
      <c r="L47" s="88">
        <f>J47-K47</f>
        <v>118883.55231663062</v>
      </c>
      <c r="O47" s="46" t="s">
        <v>20</v>
      </c>
      <c r="P47" s="27"/>
      <c r="Q47" s="88">
        <f>NPV($B$2,Q49:Q70)</f>
        <v>118883.55231663062</v>
      </c>
      <c r="R47" s="88">
        <f>NPV($B$2,R49:R69)</f>
        <v>0</v>
      </c>
      <c r="S47" s="88">
        <f>Q47-R47</f>
        <v>118883.55231663062</v>
      </c>
      <c r="V47" s="46" t="s">
        <v>21</v>
      </c>
      <c r="W47" s="27"/>
      <c r="X47" s="88">
        <f>NPV($B$2,X49:X70)</f>
        <v>118883.55231663062</v>
      </c>
      <c r="Y47" s="88">
        <f>NPV($B$2,Y49:Y69)</f>
        <v>0</v>
      </c>
      <c r="Z47" s="88">
        <f>X47-Y47</f>
        <v>118883.55231663062</v>
      </c>
    </row>
    <row r="48" spans="1:26" s="61" customFormat="1" x14ac:dyDescent="0.25">
      <c r="A48" s="13" t="s">
        <v>0</v>
      </c>
      <c r="B48" s="13" t="s">
        <v>1</v>
      </c>
      <c r="C48" s="13" t="s">
        <v>76</v>
      </c>
      <c r="D48" s="13" t="s">
        <v>77</v>
      </c>
      <c r="E48" s="53" t="s">
        <v>78</v>
      </c>
      <c r="F48" s="63"/>
      <c r="H48" s="13" t="s">
        <v>0</v>
      </c>
      <c r="I48" s="13" t="s">
        <v>1</v>
      </c>
      <c r="J48" s="13" t="s">
        <v>76</v>
      </c>
      <c r="K48" s="13" t="s">
        <v>77</v>
      </c>
      <c r="L48" s="53" t="s">
        <v>78</v>
      </c>
      <c r="M48" s="63"/>
      <c r="N48" s="63"/>
      <c r="O48" s="13" t="s">
        <v>0</v>
      </c>
      <c r="P48" s="13" t="s">
        <v>1</v>
      </c>
      <c r="Q48" s="13" t="s">
        <v>76</v>
      </c>
      <c r="R48" s="13" t="s">
        <v>77</v>
      </c>
      <c r="S48" s="53" t="s">
        <v>78</v>
      </c>
      <c r="V48" s="13" t="s">
        <v>0</v>
      </c>
      <c r="W48" s="13" t="s">
        <v>1</v>
      </c>
      <c r="X48" s="13" t="s">
        <v>76</v>
      </c>
      <c r="Y48" s="13" t="s">
        <v>77</v>
      </c>
      <c r="Z48" s="53" t="s">
        <v>78</v>
      </c>
    </row>
    <row r="49" spans="1:26" s="61" customFormat="1" x14ac:dyDescent="0.25">
      <c r="A49" s="94" t="s">
        <v>10</v>
      </c>
      <c r="B49" s="13">
        <v>2020</v>
      </c>
      <c r="C49" s="2">
        <v>0</v>
      </c>
      <c r="D49" s="2">
        <v>0</v>
      </c>
      <c r="E49" s="2">
        <f>C49-D49</f>
        <v>0</v>
      </c>
      <c r="F49" s="66"/>
      <c r="H49" s="94" t="s">
        <v>10</v>
      </c>
      <c r="I49" s="13">
        <v>2020</v>
      </c>
      <c r="J49" s="2">
        <v>0</v>
      </c>
      <c r="K49" s="2">
        <v>0</v>
      </c>
      <c r="L49" s="2">
        <f>J49-K49</f>
        <v>0</v>
      </c>
      <c r="M49" s="63"/>
      <c r="N49" s="63"/>
      <c r="O49" s="94" t="s">
        <v>10</v>
      </c>
      <c r="P49" s="13">
        <v>2020</v>
      </c>
      <c r="Q49" s="2">
        <v>0</v>
      </c>
      <c r="R49" s="2">
        <v>0</v>
      </c>
      <c r="S49" s="2">
        <f>Q49-R49</f>
        <v>0</v>
      </c>
      <c r="V49" s="94" t="s">
        <v>10</v>
      </c>
      <c r="W49" s="13">
        <v>2020</v>
      </c>
      <c r="X49" s="2">
        <v>0</v>
      </c>
      <c r="Y49" s="2">
        <v>0</v>
      </c>
      <c r="Z49" s="2">
        <f>X49-Y49</f>
        <v>0</v>
      </c>
    </row>
    <row r="50" spans="1:26" s="61" customFormat="1" x14ac:dyDescent="0.25">
      <c r="A50" s="94"/>
      <c r="B50" s="53">
        <v>2021</v>
      </c>
      <c r="C50" s="2">
        <v>0</v>
      </c>
      <c r="D50" s="2">
        <v>0</v>
      </c>
      <c r="E50" s="2">
        <f t="shared" ref="E50:E69" si="12">C50-D50</f>
        <v>0</v>
      </c>
      <c r="H50" s="94"/>
      <c r="I50" s="53">
        <v>2021</v>
      </c>
      <c r="J50" s="2">
        <v>0</v>
      </c>
      <c r="K50" s="2">
        <v>0</v>
      </c>
      <c r="L50" s="2">
        <f t="shared" ref="L50:L69" si="13">J50-K50</f>
        <v>0</v>
      </c>
      <c r="O50" s="94"/>
      <c r="P50" s="53">
        <v>2021</v>
      </c>
      <c r="Q50" s="2">
        <v>0</v>
      </c>
      <c r="R50" s="2">
        <v>0</v>
      </c>
      <c r="S50" s="2">
        <f t="shared" ref="S50:S69" si="14">Q50-R50</f>
        <v>0</v>
      </c>
      <c r="V50" s="94"/>
      <c r="W50" s="53">
        <v>2021</v>
      </c>
      <c r="X50" s="2">
        <v>0</v>
      </c>
      <c r="Y50" s="2">
        <v>0</v>
      </c>
      <c r="Z50" s="2">
        <f t="shared" ref="Z50:Z69" si="15">X50-Y50</f>
        <v>0</v>
      </c>
    </row>
    <row r="51" spans="1:26" s="61" customFormat="1" x14ac:dyDescent="0.25">
      <c r="A51" s="94"/>
      <c r="B51" s="53">
        <v>2022</v>
      </c>
      <c r="C51" s="2">
        <v>0</v>
      </c>
      <c r="D51" s="2">
        <v>0</v>
      </c>
      <c r="E51" s="2">
        <f t="shared" si="12"/>
        <v>0</v>
      </c>
      <c r="H51" s="94"/>
      <c r="I51" s="53">
        <v>2022</v>
      </c>
      <c r="J51" s="2">
        <v>0</v>
      </c>
      <c r="K51" s="2">
        <v>0</v>
      </c>
      <c r="L51" s="2">
        <f t="shared" si="13"/>
        <v>0</v>
      </c>
      <c r="O51" s="94"/>
      <c r="P51" s="53">
        <v>2022</v>
      </c>
      <c r="Q51" s="2">
        <v>0</v>
      </c>
      <c r="R51" s="2">
        <v>0</v>
      </c>
      <c r="S51" s="2">
        <f t="shared" si="14"/>
        <v>0</v>
      </c>
      <c r="V51" s="94"/>
      <c r="W51" s="53">
        <v>2022</v>
      </c>
      <c r="X51" s="2">
        <v>0</v>
      </c>
      <c r="Y51" s="2">
        <v>0</v>
      </c>
      <c r="Z51" s="2">
        <f t="shared" si="15"/>
        <v>0</v>
      </c>
    </row>
    <row r="52" spans="1:26" s="61" customFormat="1" x14ac:dyDescent="0.25">
      <c r="A52" s="94"/>
      <c r="B52" s="53">
        <v>2023</v>
      </c>
      <c r="C52" s="2">
        <v>0</v>
      </c>
      <c r="D52" s="2">
        <v>0</v>
      </c>
      <c r="E52" s="2">
        <f t="shared" si="12"/>
        <v>0</v>
      </c>
      <c r="H52" s="94"/>
      <c r="I52" s="53">
        <v>2023</v>
      </c>
      <c r="J52" s="2">
        <v>0</v>
      </c>
      <c r="K52" s="2">
        <v>0</v>
      </c>
      <c r="L52" s="2">
        <f t="shared" si="13"/>
        <v>0</v>
      </c>
      <c r="O52" s="94"/>
      <c r="P52" s="53">
        <v>2023</v>
      </c>
      <c r="Q52" s="2">
        <v>0</v>
      </c>
      <c r="R52" s="2">
        <v>0</v>
      </c>
      <c r="S52" s="2">
        <f t="shared" si="14"/>
        <v>0</v>
      </c>
      <c r="V52" s="94"/>
      <c r="W52" s="53">
        <v>2023</v>
      </c>
      <c r="X52" s="2">
        <v>0</v>
      </c>
      <c r="Y52" s="2">
        <v>0</v>
      </c>
      <c r="Z52" s="2">
        <f t="shared" si="15"/>
        <v>0</v>
      </c>
    </row>
    <row r="53" spans="1:26" s="61" customFormat="1" x14ac:dyDescent="0.25">
      <c r="A53" s="94"/>
      <c r="B53" s="53">
        <v>2024</v>
      </c>
      <c r="C53" s="2">
        <v>0</v>
      </c>
      <c r="D53" s="2">
        <v>0</v>
      </c>
      <c r="E53" s="2">
        <f t="shared" si="12"/>
        <v>0</v>
      </c>
      <c r="H53" s="94"/>
      <c r="I53" s="53">
        <v>2024</v>
      </c>
      <c r="J53" s="2">
        <v>0</v>
      </c>
      <c r="K53" s="2">
        <v>0</v>
      </c>
      <c r="L53" s="2">
        <f t="shared" si="13"/>
        <v>0</v>
      </c>
      <c r="O53" s="94"/>
      <c r="P53" s="53">
        <v>2024</v>
      </c>
      <c r="Q53" s="2">
        <v>0</v>
      </c>
      <c r="R53" s="2">
        <v>0</v>
      </c>
      <c r="S53" s="2">
        <f t="shared" si="14"/>
        <v>0</v>
      </c>
      <c r="V53" s="94"/>
      <c r="W53" s="53">
        <v>2024</v>
      </c>
      <c r="X53" s="2">
        <v>0</v>
      </c>
      <c r="Y53" s="2">
        <v>0</v>
      </c>
      <c r="Z53" s="2">
        <f t="shared" si="15"/>
        <v>0</v>
      </c>
    </row>
    <row r="54" spans="1:26" s="61" customFormat="1" x14ac:dyDescent="0.25">
      <c r="A54" s="94"/>
      <c r="B54" s="53">
        <v>2025</v>
      </c>
      <c r="C54" s="2">
        <v>0</v>
      </c>
      <c r="D54" s="2">
        <v>0</v>
      </c>
      <c r="E54" s="2">
        <f t="shared" si="12"/>
        <v>0</v>
      </c>
      <c r="H54" s="94"/>
      <c r="I54" s="53">
        <v>2025</v>
      </c>
      <c r="J54" s="2">
        <v>0</v>
      </c>
      <c r="K54" s="2">
        <v>0</v>
      </c>
      <c r="L54" s="2">
        <f t="shared" si="13"/>
        <v>0</v>
      </c>
      <c r="O54" s="94"/>
      <c r="P54" s="53">
        <v>2025</v>
      </c>
      <c r="Q54" s="2">
        <v>0</v>
      </c>
      <c r="R54" s="2">
        <v>0</v>
      </c>
      <c r="S54" s="2">
        <f t="shared" si="14"/>
        <v>0</v>
      </c>
      <c r="V54" s="94"/>
      <c r="W54" s="53">
        <v>2025</v>
      </c>
      <c r="X54" s="2">
        <v>0</v>
      </c>
      <c r="Y54" s="2">
        <v>0</v>
      </c>
      <c r="Z54" s="2">
        <f t="shared" si="15"/>
        <v>0</v>
      </c>
    </row>
    <row r="55" spans="1:26" s="61" customFormat="1" x14ac:dyDescent="0.25">
      <c r="A55" s="94"/>
      <c r="B55" s="53">
        <v>2026</v>
      </c>
      <c r="C55" s="2">
        <v>0</v>
      </c>
      <c r="D55" s="2">
        <v>0</v>
      </c>
      <c r="E55" s="2">
        <f t="shared" si="12"/>
        <v>0</v>
      </c>
      <c r="H55" s="94"/>
      <c r="I55" s="53">
        <v>2026</v>
      </c>
      <c r="J55" s="2">
        <v>0</v>
      </c>
      <c r="K55" s="2">
        <v>0</v>
      </c>
      <c r="L55" s="2">
        <f t="shared" si="13"/>
        <v>0</v>
      </c>
      <c r="O55" s="94"/>
      <c r="P55" s="53">
        <v>2026</v>
      </c>
      <c r="Q55" s="2">
        <v>0</v>
      </c>
      <c r="R55" s="2">
        <v>0</v>
      </c>
      <c r="S55" s="2">
        <f t="shared" si="14"/>
        <v>0</v>
      </c>
      <c r="V55" s="94"/>
      <c r="W55" s="53">
        <v>2026</v>
      </c>
      <c r="X55" s="2">
        <v>0</v>
      </c>
      <c r="Y55" s="2">
        <v>0</v>
      </c>
      <c r="Z55" s="2">
        <f t="shared" si="15"/>
        <v>0</v>
      </c>
    </row>
    <row r="56" spans="1:26" s="61" customFormat="1" x14ac:dyDescent="0.25">
      <c r="A56" s="94"/>
      <c r="B56" s="53">
        <v>2027</v>
      </c>
      <c r="C56" s="2">
        <v>0</v>
      </c>
      <c r="D56" s="2">
        <v>0</v>
      </c>
      <c r="E56" s="2">
        <f t="shared" si="12"/>
        <v>0</v>
      </c>
      <c r="H56" s="94"/>
      <c r="I56" s="53">
        <v>2027</v>
      </c>
      <c r="J56" s="2">
        <v>0</v>
      </c>
      <c r="K56" s="2">
        <v>0</v>
      </c>
      <c r="L56" s="2">
        <f t="shared" si="13"/>
        <v>0</v>
      </c>
      <c r="O56" s="94"/>
      <c r="P56" s="53">
        <v>2027</v>
      </c>
      <c r="Q56" s="2">
        <v>0</v>
      </c>
      <c r="R56" s="2">
        <v>0</v>
      </c>
      <c r="S56" s="2">
        <f t="shared" si="14"/>
        <v>0</v>
      </c>
      <c r="V56" s="94"/>
      <c r="W56" s="53">
        <v>2027</v>
      </c>
      <c r="X56" s="2">
        <v>0</v>
      </c>
      <c r="Y56" s="2">
        <v>0</v>
      </c>
      <c r="Z56" s="2">
        <f t="shared" si="15"/>
        <v>0</v>
      </c>
    </row>
    <row r="57" spans="1:26" s="61" customFormat="1" x14ac:dyDescent="0.25">
      <c r="A57" s="94"/>
      <c r="B57" s="53">
        <v>2028</v>
      </c>
      <c r="C57" s="2">
        <v>0</v>
      </c>
      <c r="D57" s="2">
        <v>0</v>
      </c>
      <c r="E57" s="2">
        <f t="shared" si="12"/>
        <v>0</v>
      </c>
      <c r="H57" s="94"/>
      <c r="I57" s="53">
        <v>2028</v>
      </c>
      <c r="J57" s="2">
        <v>0</v>
      </c>
      <c r="K57" s="2">
        <v>0</v>
      </c>
      <c r="L57" s="2">
        <f t="shared" si="13"/>
        <v>0</v>
      </c>
      <c r="O57" s="94"/>
      <c r="P57" s="53">
        <v>2028</v>
      </c>
      <c r="Q57" s="2">
        <v>0</v>
      </c>
      <c r="R57" s="2">
        <v>0</v>
      </c>
      <c r="S57" s="2">
        <f t="shared" si="14"/>
        <v>0</v>
      </c>
      <c r="V57" s="94"/>
      <c r="W57" s="53">
        <v>2028</v>
      </c>
      <c r="X57" s="2">
        <v>0</v>
      </c>
      <c r="Y57" s="2">
        <v>0</v>
      </c>
      <c r="Z57" s="2">
        <f t="shared" si="15"/>
        <v>0</v>
      </c>
    </row>
    <row r="58" spans="1:26" s="61" customFormat="1" x14ac:dyDescent="0.25">
      <c r="A58" s="94"/>
      <c r="B58" s="53">
        <v>2029</v>
      </c>
      <c r="C58" s="2">
        <v>0</v>
      </c>
      <c r="D58" s="2">
        <v>0</v>
      </c>
      <c r="E58" s="2">
        <f t="shared" si="12"/>
        <v>0</v>
      </c>
      <c r="H58" s="94"/>
      <c r="I58" s="53">
        <v>2029</v>
      </c>
      <c r="J58" s="2">
        <v>0</v>
      </c>
      <c r="K58" s="2">
        <v>0</v>
      </c>
      <c r="L58" s="2">
        <f t="shared" si="13"/>
        <v>0</v>
      </c>
      <c r="O58" s="94"/>
      <c r="P58" s="53">
        <v>2029</v>
      </c>
      <c r="Q58" s="2">
        <v>0</v>
      </c>
      <c r="R58" s="2">
        <v>0</v>
      </c>
      <c r="S58" s="2">
        <f t="shared" si="14"/>
        <v>0</v>
      </c>
      <c r="V58" s="94"/>
      <c r="W58" s="53">
        <v>2029</v>
      </c>
      <c r="X58" s="2">
        <v>0</v>
      </c>
      <c r="Y58" s="2">
        <v>0</v>
      </c>
      <c r="Z58" s="2">
        <f t="shared" si="15"/>
        <v>0</v>
      </c>
    </row>
    <row r="59" spans="1:26" s="61" customFormat="1" x14ac:dyDescent="0.25">
      <c r="A59" s="94"/>
      <c r="B59" s="53">
        <v>2030</v>
      </c>
      <c r="C59" s="2">
        <v>0</v>
      </c>
      <c r="D59" s="2">
        <v>0</v>
      </c>
      <c r="E59" s="2">
        <f t="shared" si="12"/>
        <v>0</v>
      </c>
      <c r="H59" s="94"/>
      <c r="I59" s="53">
        <v>2030</v>
      </c>
      <c r="J59" s="2">
        <v>0</v>
      </c>
      <c r="K59" s="2">
        <v>0</v>
      </c>
      <c r="L59" s="2">
        <f t="shared" si="13"/>
        <v>0</v>
      </c>
      <c r="O59" s="94"/>
      <c r="P59" s="53">
        <v>2030</v>
      </c>
      <c r="Q59" s="2">
        <v>0</v>
      </c>
      <c r="R59" s="2">
        <v>0</v>
      </c>
      <c r="S59" s="2">
        <f t="shared" si="14"/>
        <v>0</v>
      </c>
      <c r="V59" s="94"/>
      <c r="W59" s="53">
        <v>2030</v>
      </c>
      <c r="X59" s="2">
        <v>0</v>
      </c>
      <c r="Y59" s="2">
        <v>0</v>
      </c>
      <c r="Z59" s="2">
        <f t="shared" si="15"/>
        <v>0</v>
      </c>
    </row>
    <row r="60" spans="1:26" s="61" customFormat="1" x14ac:dyDescent="0.25">
      <c r="A60" s="94"/>
      <c r="B60" s="53">
        <v>2031</v>
      </c>
      <c r="C60" s="2">
        <v>0</v>
      </c>
      <c r="D60" s="2">
        <v>0</v>
      </c>
      <c r="E60" s="2">
        <f t="shared" si="12"/>
        <v>0</v>
      </c>
      <c r="H60" s="94"/>
      <c r="I60" s="53">
        <v>2031</v>
      </c>
      <c r="J60" s="2">
        <v>0</v>
      </c>
      <c r="K60" s="2">
        <v>0</v>
      </c>
      <c r="L60" s="2">
        <f t="shared" si="13"/>
        <v>0</v>
      </c>
      <c r="O60" s="94"/>
      <c r="P60" s="53">
        <v>2031</v>
      </c>
      <c r="Q60" s="2">
        <v>0</v>
      </c>
      <c r="R60" s="2">
        <v>0</v>
      </c>
      <c r="S60" s="2">
        <f t="shared" si="14"/>
        <v>0</v>
      </c>
      <c r="V60" s="94"/>
      <c r="W60" s="53">
        <v>2031</v>
      </c>
      <c r="X60" s="2">
        <v>0</v>
      </c>
      <c r="Y60" s="2">
        <v>0</v>
      </c>
      <c r="Z60" s="2">
        <f t="shared" si="15"/>
        <v>0</v>
      </c>
    </row>
    <row r="61" spans="1:26" s="61" customFormat="1" x14ac:dyDescent="0.25">
      <c r="A61" s="94"/>
      <c r="B61" s="53">
        <v>2032</v>
      </c>
      <c r="C61" s="2">
        <v>0</v>
      </c>
      <c r="D61" s="2">
        <v>0</v>
      </c>
      <c r="E61" s="2">
        <f t="shared" si="12"/>
        <v>0</v>
      </c>
      <c r="H61" s="94"/>
      <c r="I61" s="53">
        <v>2032</v>
      </c>
      <c r="J61" s="2">
        <v>0</v>
      </c>
      <c r="K61" s="2">
        <v>0</v>
      </c>
      <c r="L61" s="2">
        <f t="shared" si="13"/>
        <v>0</v>
      </c>
      <c r="O61" s="94"/>
      <c r="P61" s="53">
        <v>2032</v>
      </c>
      <c r="Q61" s="2">
        <v>0</v>
      </c>
      <c r="R61" s="2">
        <v>0</v>
      </c>
      <c r="S61" s="2">
        <f t="shared" si="14"/>
        <v>0</v>
      </c>
      <c r="V61" s="94"/>
      <c r="W61" s="53">
        <v>2032</v>
      </c>
      <c r="X61" s="2">
        <v>0</v>
      </c>
      <c r="Y61" s="2">
        <v>0</v>
      </c>
      <c r="Z61" s="2">
        <f t="shared" si="15"/>
        <v>0</v>
      </c>
    </row>
    <row r="62" spans="1:26" s="61" customFormat="1" x14ac:dyDescent="0.25">
      <c r="A62" s="94"/>
      <c r="B62" s="53">
        <v>2033</v>
      </c>
      <c r="C62" s="2">
        <v>0</v>
      </c>
      <c r="D62" s="2">
        <v>0</v>
      </c>
      <c r="E62" s="2">
        <f t="shared" si="12"/>
        <v>0</v>
      </c>
      <c r="H62" s="94"/>
      <c r="I62" s="53">
        <v>2033</v>
      </c>
      <c r="J62" s="2">
        <v>0</v>
      </c>
      <c r="K62" s="2">
        <v>0</v>
      </c>
      <c r="L62" s="2">
        <f t="shared" si="13"/>
        <v>0</v>
      </c>
      <c r="O62" s="94"/>
      <c r="P62" s="53">
        <v>2033</v>
      </c>
      <c r="Q62" s="2">
        <v>0</v>
      </c>
      <c r="R62" s="2">
        <v>0</v>
      </c>
      <c r="S62" s="2">
        <f t="shared" si="14"/>
        <v>0</v>
      </c>
      <c r="V62" s="94"/>
      <c r="W62" s="53">
        <v>2033</v>
      </c>
      <c r="X62" s="2">
        <v>0</v>
      </c>
      <c r="Y62" s="2">
        <v>0</v>
      </c>
      <c r="Z62" s="2">
        <f t="shared" si="15"/>
        <v>0</v>
      </c>
    </row>
    <row r="63" spans="1:26" s="61" customFormat="1" x14ac:dyDescent="0.25">
      <c r="A63" s="94"/>
      <c r="B63" s="53">
        <v>2034</v>
      </c>
      <c r="C63" s="2">
        <v>0</v>
      </c>
      <c r="D63" s="2">
        <v>0</v>
      </c>
      <c r="E63" s="2">
        <f t="shared" si="12"/>
        <v>0</v>
      </c>
      <c r="H63" s="94"/>
      <c r="I63" s="53">
        <v>2034</v>
      </c>
      <c r="J63" s="2">
        <v>0</v>
      </c>
      <c r="K63" s="2">
        <v>0</v>
      </c>
      <c r="L63" s="2">
        <f t="shared" si="13"/>
        <v>0</v>
      </c>
      <c r="O63" s="94"/>
      <c r="P63" s="53">
        <v>2034</v>
      </c>
      <c r="Q63" s="2">
        <v>0</v>
      </c>
      <c r="R63" s="2">
        <v>0</v>
      </c>
      <c r="S63" s="2">
        <f t="shared" si="14"/>
        <v>0</v>
      </c>
      <c r="V63" s="94"/>
      <c r="W63" s="53">
        <v>2034</v>
      </c>
      <c r="X63" s="2">
        <v>0</v>
      </c>
      <c r="Y63" s="2">
        <v>0</v>
      </c>
      <c r="Z63" s="2">
        <f t="shared" si="15"/>
        <v>0</v>
      </c>
    </row>
    <row r="64" spans="1:26" s="61" customFormat="1" x14ac:dyDescent="0.25">
      <c r="A64" s="94"/>
      <c r="B64" s="53">
        <v>2035</v>
      </c>
      <c r="C64" s="2">
        <f t="shared" ref="C64:C69" si="16">-PMT($B$2,Network_payment_duration_years,$B$3*Snowylink2_Cost/(Snowylink2_Cost+Option_C2_PresentCost),,0)</f>
        <v>21480.000830990677</v>
      </c>
      <c r="D64" s="2">
        <v>0</v>
      </c>
      <c r="E64" s="2">
        <f t="shared" si="12"/>
        <v>21480.000830990677</v>
      </c>
      <c r="H64" s="94"/>
      <c r="I64" s="53">
        <v>2035</v>
      </c>
      <c r="J64" s="2">
        <f t="shared" ref="J64:J69" si="17">-PMT($B$2,Network_payment_duration_years,$B$3*Snowylink2_Cost/(Snowylink2_Cost+Option_C2_PresentCost),,0)</f>
        <v>21480.000830990677</v>
      </c>
      <c r="K64" s="2">
        <v>0</v>
      </c>
      <c r="L64" s="2">
        <f t="shared" si="13"/>
        <v>21480.000830990677</v>
      </c>
      <c r="O64" s="94"/>
      <c r="P64" s="53">
        <v>2035</v>
      </c>
      <c r="Q64" s="2">
        <f t="shared" ref="Q64:Q69" si="18">-PMT($B$2,Network_payment_duration_years,$B$3*Snowylink2_Cost/(Snowylink2_Cost+Option_C2_PresentCost),,0)</f>
        <v>21480.000830990677</v>
      </c>
      <c r="R64" s="2">
        <v>0</v>
      </c>
      <c r="S64" s="2">
        <f t="shared" si="14"/>
        <v>21480.000830990677</v>
      </c>
      <c r="V64" s="94"/>
      <c r="W64" s="53">
        <v>2035</v>
      </c>
      <c r="X64" s="2">
        <f t="shared" ref="X64:X69" si="19">-PMT($B$2,Network_payment_duration_years,$B$3*Snowylink2_Cost/(Snowylink2_Cost+Option_C2_PresentCost),,0)</f>
        <v>21480.000830990677</v>
      </c>
      <c r="Y64" s="2">
        <v>0</v>
      </c>
      <c r="Z64" s="2">
        <f t="shared" si="15"/>
        <v>21480.000830990677</v>
      </c>
    </row>
    <row r="65" spans="1:27" s="61" customFormat="1" x14ac:dyDescent="0.25">
      <c r="A65" s="94"/>
      <c r="B65" s="53">
        <v>2036</v>
      </c>
      <c r="C65" s="2">
        <f t="shared" si="16"/>
        <v>21480.000830990677</v>
      </c>
      <c r="D65" s="2">
        <v>0</v>
      </c>
      <c r="E65" s="2">
        <f t="shared" si="12"/>
        <v>21480.000830990677</v>
      </c>
      <c r="H65" s="94"/>
      <c r="I65" s="53">
        <v>2036</v>
      </c>
      <c r="J65" s="2">
        <f t="shared" si="17"/>
        <v>21480.000830990677</v>
      </c>
      <c r="K65" s="2">
        <v>0</v>
      </c>
      <c r="L65" s="2">
        <f t="shared" si="13"/>
        <v>21480.000830990677</v>
      </c>
      <c r="O65" s="94"/>
      <c r="P65" s="53">
        <v>2036</v>
      </c>
      <c r="Q65" s="2">
        <f t="shared" si="18"/>
        <v>21480.000830990677</v>
      </c>
      <c r="R65" s="2">
        <v>0</v>
      </c>
      <c r="S65" s="2">
        <f t="shared" si="14"/>
        <v>21480.000830990677</v>
      </c>
      <c r="V65" s="94"/>
      <c r="W65" s="53">
        <v>2036</v>
      </c>
      <c r="X65" s="2">
        <f t="shared" si="19"/>
        <v>21480.000830990677</v>
      </c>
      <c r="Y65" s="2">
        <v>0</v>
      </c>
      <c r="Z65" s="2">
        <f t="shared" si="15"/>
        <v>21480.000830990677</v>
      </c>
    </row>
    <row r="66" spans="1:27" s="61" customFormat="1" x14ac:dyDescent="0.25">
      <c r="A66" s="94"/>
      <c r="B66" s="53">
        <v>2037</v>
      </c>
      <c r="C66" s="2">
        <f t="shared" si="16"/>
        <v>21480.000830990677</v>
      </c>
      <c r="D66" s="2">
        <v>0</v>
      </c>
      <c r="E66" s="2">
        <f t="shared" si="12"/>
        <v>21480.000830990677</v>
      </c>
      <c r="H66" s="94"/>
      <c r="I66" s="53">
        <v>2037</v>
      </c>
      <c r="J66" s="2">
        <f t="shared" si="17"/>
        <v>21480.000830990677</v>
      </c>
      <c r="K66" s="2">
        <v>0</v>
      </c>
      <c r="L66" s="2">
        <f t="shared" si="13"/>
        <v>21480.000830990677</v>
      </c>
      <c r="O66" s="94"/>
      <c r="P66" s="53">
        <v>2037</v>
      </c>
      <c r="Q66" s="2">
        <f t="shared" si="18"/>
        <v>21480.000830990677</v>
      </c>
      <c r="R66" s="2">
        <v>0</v>
      </c>
      <c r="S66" s="2">
        <f t="shared" si="14"/>
        <v>21480.000830990677</v>
      </c>
      <c r="V66" s="94"/>
      <c r="W66" s="53">
        <v>2037</v>
      </c>
      <c r="X66" s="2">
        <f t="shared" si="19"/>
        <v>21480.000830990677</v>
      </c>
      <c r="Y66" s="2">
        <v>0</v>
      </c>
      <c r="Z66" s="2">
        <f t="shared" si="15"/>
        <v>21480.000830990677</v>
      </c>
    </row>
    <row r="67" spans="1:27" s="61" customFormat="1" x14ac:dyDescent="0.25">
      <c r="A67" s="94"/>
      <c r="B67" s="53">
        <v>2038</v>
      </c>
      <c r="C67" s="2">
        <f t="shared" si="16"/>
        <v>21480.000830990677</v>
      </c>
      <c r="D67" s="2">
        <v>0</v>
      </c>
      <c r="E67" s="2">
        <f t="shared" si="12"/>
        <v>21480.000830990677</v>
      </c>
      <c r="H67" s="94"/>
      <c r="I67" s="53">
        <v>2038</v>
      </c>
      <c r="J67" s="2">
        <f t="shared" si="17"/>
        <v>21480.000830990677</v>
      </c>
      <c r="K67" s="2">
        <v>0</v>
      </c>
      <c r="L67" s="2">
        <f t="shared" si="13"/>
        <v>21480.000830990677</v>
      </c>
      <c r="O67" s="94"/>
      <c r="P67" s="53">
        <v>2038</v>
      </c>
      <c r="Q67" s="2">
        <f t="shared" si="18"/>
        <v>21480.000830990677</v>
      </c>
      <c r="R67" s="2">
        <v>0</v>
      </c>
      <c r="S67" s="2">
        <f t="shared" si="14"/>
        <v>21480.000830990677</v>
      </c>
      <c r="V67" s="94"/>
      <c r="W67" s="53">
        <v>2038</v>
      </c>
      <c r="X67" s="2">
        <f t="shared" si="19"/>
        <v>21480.000830990677</v>
      </c>
      <c r="Y67" s="2">
        <v>0</v>
      </c>
      <c r="Z67" s="2">
        <f t="shared" si="15"/>
        <v>21480.000830990677</v>
      </c>
    </row>
    <row r="68" spans="1:27" s="61" customFormat="1" x14ac:dyDescent="0.25">
      <c r="A68" s="94"/>
      <c r="B68" s="53">
        <v>2039</v>
      </c>
      <c r="C68" s="2">
        <f t="shared" si="16"/>
        <v>21480.000830990677</v>
      </c>
      <c r="D68" s="2">
        <v>0</v>
      </c>
      <c r="E68" s="2">
        <f t="shared" si="12"/>
        <v>21480.000830990677</v>
      </c>
      <c r="H68" s="94"/>
      <c r="I68" s="53">
        <v>2039</v>
      </c>
      <c r="J68" s="2">
        <f t="shared" si="17"/>
        <v>21480.000830990677</v>
      </c>
      <c r="K68" s="2">
        <v>0</v>
      </c>
      <c r="L68" s="2">
        <f t="shared" si="13"/>
        <v>21480.000830990677</v>
      </c>
      <c r="O68" s="94"/>
      <c r="P68" s="53">
        <v>2039</v>
      </c>
      <c r="Q68" s="2">
        <f t="shared" si="18"/>
        <v>21480.000830990677</v>
      </c>
      <c r="R68" s="2">
        <v>0</v>
      </c>
      <c r="S68" s="2">
        <f t="shared" si="14"/>
        <v>21480.000830990677</v>
      </c>
      <c r="V68" s="94"/>
      <c r="W68" s="53">
        <v>2039</v>
      </c>
      <c r="X68" s="2">
        <f t="shared" si="19"/>
        <v>21480.000830990677</v>
      </c>
      <c r="Y68" s="2">
        <v>0</v>
      </c>
      <c r="Z68" s="2">
        <f t="shared" si="15"/>
        <v>21480.000830990677</v>
      </c>
    </row>
    <row r="69" spans="1:27" s="61" customFormat="1" x14ac:dyDescent="0.25">
      <c r="A69" s="94"/>
      <c r="B69" s="53">
        <v>2040</v>
      </c>
      <c r="C69" s="2">
        <f t="shared" si="16"/>
        <v>21480.000830990677</v>
      </c>
      <c r="D69" s="2">
        <v>0</v>
      </c>
      <c r="E69" s="2">
        <f t="shared" si="12"/>
        <v>21480.000830990677</v>
      </c>
      <c r="H69" s="94"/>
      <c r="I69" s="53">
        <v>2040</v>
      </c>
      <c r="J69" s="2">
        <f t="shared" si="17"/>
        <v>21480.000830990677</v>
      </c>
      <c r="K69" s="2">
        <v>0</v>
      </c>
      <c r="L69" s="2">
        <f t="shared" si="13"/>
        <v>21480.000830990677</v>
      </c>
      <c r="O69" s="94"/>
      <c r="P69" s="53">
        <v>2040</v>
      </c>
      <c r="Q69" s="2">
        <f t="shared" si="18"/>
        <v>21480.000830990677</v>
      </c>
      <c r="R69" s="2">
        <v>0</v>
      </c>
      <c r="S69" s="2">
        <f t="shared" si="14"/>
        <v>21480.000830990677</v>
      </c>
      <c r="V69" s="94"/>
      <c r="W69" s="53">
        <v>2040</v>
      </c>
      <c r="X69" s="2">
        <f t="shared" si="19"/>
        <v>21480.000830990677</v>
      </c>
      <c r="Y69" s="2">
        <v>0</v>
      </c>
      <c r="Z69" s="2">
        <f t="shared" si="15"/>
        <v>21480.000830990677</v>
      </c>
    </row>
    <row r="70" spans="1:27" s="82" customFormat="1" x14ac:dyDescent="0.25">
      <c r="A70" s="94"/>
      <c r="B70" s="53" t="s">
        <v>44</v>
      </c>
      <c r="C70" s="2">
        <f>-PV($B$2,($B$4-(B69+1-Snowylink_Year)),C69,,0)</f>
        <v>269581.69012561196</v>
      </c>
      <c r="D70" s="2">
        <f>-PV($B$2,($B$4-(B69+1-Snowylink_Year)),D69,,0)</f>
        <v>0</v>
      </c>
      <c r="E70" s="2">
        <f>-PV($B$2,($B$4-(B69+1-Snowylink_Year)),E69,,0)</f>
        <v>269581.69012561196</v>
      </c>
      <c r="H70" s="94"/>
      <c r="I70" s="53" t="s">
        <v>44</v>
      </c>
      <c r="J70" s="2">
        <f>-PV($B$2,($B$4-(I69+1-Snowylink_Year)),J69,,0)</f>
        <v>269581.69012561196</v>
      </c>
      <c r="K70" s="2">
        <f>-PV($B$2,($B$4-(I69+1-Snowylink_Year)),K69,,0)</f>
        <v>0</v>
      </c>
      <c r="L70" s="2">
        <f>-PV($B$2,($B$4-(I69+1-Snowylink_Year)),L69,,0)</f>
        <v>269581.69012561196</v>
      </c>
      <c r="O70" s="94"/>
      <c r="P70" s="53" t="s">
        <v>44</v>
      </c>
      <c r="Q70" s="2">
        <f>-PV($B$2,($B$4-(P69+1-Snowylink_Year)),Q69,,0)</f>
        <v>269581.69012561196</v>
      </c>
      <c r="R70" s="2">
        <f>-PV($B$2,($B$4-(P69+1-Snowylink_Year)),R69,,0)</f>
        <v>0</v>
      </c>
      <c r="S70" s="2">
        <f>-PV($B$2,($B$4-(P69+1-Snowylink_Year)),S69,,0)</f>
        <v>269581.69012561196</v>
      </c>
      <c r="V70" s="94"/>
      <c r="W70" s="53" t="s">
        <v>44</v>
      </c>
      <c r="X70" s="2">
        <f>-PV($B$2,($B$4-(W69+1-Snowylink_Year)),X69,,0)</f>
        <v>269581.69012561196</v>
      </c>
      <c r="Y70" s="2">
        <f>-PV($B$2,($B$4-(W69+1-Snowylink_Year)),Y69,,0)</f>
        <v>0</v>
      </c>
      <c r="Z70" s="2">
        <f>-PV($B$2,($B$4-(W69+1-Snowylink_Year)),Z69,,0)</f>
        <v>269581.69012561196</v>
      </c>
    </row>
    <row r="71" spans="1:27" s="61" customFormat="1" x14ac:dyDescent="0.25">
      <c r="A71" s="41"/>
      <c r="B71" s="65"/>
      <c r="C71" s="4"/>
      <c r="D71" s="4"/>
      <c r="E71" s="4"/>
      <c r="H71" s="41"/>
      <c r="I71" s="65"/>
      <c r="J71" s="4"/>
      <c r="K71" s="4"/>
      <c r="L71" s="4"/>
      <c r="O71" s="41"/>
      <c r="P71" s="65"/>
      <c r="Q71" s="4"/>
      <c r="R71" s="4"/>
      <c r="S71" s="4"/>
      <c r="V71" s="41"/>
      <c r="W71" s="65"/>
      <c r="X71" s="4"/>
      <c r="Y71" s="4"/>
      <c r="Z71" s="4"/>
    </row>
    <row r="72" spans="1:27" s="82" customFormat="1" x14ac:dyDescent="0.25">
      <c r="A72" s="73" t="s">
        <v>64</v>
      </c>
      <c r="B72" s="65"/>
      <c r="C72" s="4"/>
      <c r="D72" s="4"/>
      <c r="E72" s="4"/>
      <c r="H72" s="73"/>
      <c r="I72" s="65"/>
      <c r="J72" s="4"/>
      <c r="K72" s="4"/>
      <c r="L72" s="4"/>
      <c r="O72" s="73"/>
      <c r="P72" s="65"/>
      <c r="Q72" s="4"/>
      <c r="R72" s="4"/>
      <c r="S72" s="4"/>
      <c r="V72" s="73"/>
      <c r="W72" s="65"/>
      <c r="X72" s="4"/>
      <c r="Y72" s="4"/>
      <c r="Z72" s="4"/>
    </row>
    <row r="73" spans="1:27" s="82" customFormat="1" x14ac:dyDescent="0.25">
      <c r="A73" s="46" t="s">
        <v>9</v>
      </c>
      <c r="B73" s="46"/>
      <c r="C73" s="75">
        <f>NPV($B$2,C75:C88)</f>
        <v>339787.0709082773</v>
      </c>
      <c r="H73" s="46" t="s">
        <v>89</v>
      </c>
      <c r="I73" s="46"/>
      <c r="J73" s="75">
        <f>NPV($B$2,J75:J88)</f>
        <v>237456.09115803623</v>
      </c>
      <c r="L73" s="39"/>
      <c r="O73" s="46" t="s">
        <v>20</v>
      </c>
      <c r="P73" s="46"/>
      <c r="Q73" s="75">
        <f>NPV($B$2,Q75:Q88)</f>
        <v>257434.497721361</v>
      </c>
      <c r="S73" s="39"/>
      <c r="V73" s="46" t="s">
        <v>21</v>
      </c>
      <c r="W73" s="46"/>
      <c r="X73" s="75">
        <f>NPV($B$2,X75:X88)</f>
        <v>357640.7046508558</v>
      </c>
      <c r="Z73" s="39"/>
    </row>
    <row r="74" spans="1:27" s="82" customFormat="1" x14ac:dyDescent="0.25">
      <c r="A74" s="13" t="s">
        <v>0</v>
      </c>
      <c r="B74" s="13" t="s">
        <v>1</v>
      </c>
      <c r="C74" s="13" t="s">
        <v>4</v>
      </c>
      <c r="D74" s="83"/>
      <c r="E74" s="83"/>
      <c r="F74" s="83"/>
      <c r="H74" s="13" t="s">
        <v>0</v>
      </c>
      <c r="I74" s="13" t="s">
        <v>1</v>
      </c>
      <c r="J74" s="13" t="s">
        <v>4</v>
      </c>
      <c r="K74" s="83"/>
      <c r="L74" s="65"/>
      <c r="M74" s="83"/>
      <c r="O74" s="13" t="s">
        <v>0</v>
      </c>
      <c r="P74" s="13" t="s">
        <v>1</v>
      </c>
      <c r="Q74" s="13" t="s">
        <v>4</v>
      </c>
      <c r="R74" s="83"/>
      <c r="S74" s="65"/>
      <c r="T74" s="83"/>
      <c r="V74" s="13" t="s">
        <v>0</v>
      </c>
      <c r="W74" s="13" t="s">
        <v>1</v>
      </c>
      <c r="X74" s="13" t="s">
        <v>4</v>
      </c>
      <c r="Y74" s="83"/>
      <c r="Z74" s="65"/>
      <c r="AA74" s="83"/>
    </row>
    <row r="75" spans="1:27" s="82" customFormat="1" x14ac:dyDescent="0.25">
      <c r="A75" s="93" t="s">
        <v>10</v>
      </c>
      <c r="B75" s="53">
        <v>2020</v>
      </c>
      <c r="C75" s="2">
        <v>-3818.2206315519807</v>
      </c>
      <c r="D75" s="66"/>
      <c r="E75" s="66"/>
      <c r="F75" s="66"/>
      <c r="H75" s="94" t="s">
        <v>10</v>
      </c>
      <c r="I75" s="53">
        <v>2020</v>
      </c>
      <c r="J75" s="2">
        <v>-3852.208726500578</v>
      </c>
      <c r="K75" s="66"/>
      <c r="L75" s="4"/>
      <c r="M75" s="66"/>
      <c r="O75" s="94" t="s">
        <v>10</v>
      </c>
      <c r="P75" s="53">
        <v>2020</v>
      </c>
      <c r="Q75" s="2">
        <v>-177.59276688371983</v>
      </c>
      <c r="R75" s="66"/>
      <c r="S75" s="4"/>
      <c r="T75" s="66"/>
      <c r="V75" s="94" t="s">
        <v>10</v>
      </c>
      <c r="W75" s="53">
        <v>2020</v>
      </c>
      <c r="X75" s="2">
        <v>0</v>
      </c>
      <c r="Y75" s="66"/>
      <c r="Z75" s="4"/>
      <c r="AA75" s="66"/>
    </row>
    <row r="76" spans="1:27" s="82" customFormat="1" x14ac:dyDescent="0.25">
      <c r="A76" s="93"/>
      <c r="B76" s="53">
        <v>2021</v>
      </c>
      <c r="C76" s="2">
        <v>21353.461754340686</v>
      </c>
      <c r="D76" s="48"/>
      <c r="E76" s="48"/>
      <c r="F76" s="48"/>
      <c r="H76" s="94"/>
      <c r="I76" s="53">
        <v>2021</v>
      </c>
      <c r="J76" s="2">
        <v>21319.47365939209</v>
      </c>
      <c r="K76" s="48"/>
      <c r="L76" s="4"/>
      <c r="M76" s="48"/>
      <c r="O76" s="94"/>
      <c r="P76" s="53">
        <v>2021</v>
      </c>
      <c r="Q76" s="2">
        <v>25126.678680963665</v>
      </c>
      <c r="R76" s="48"/>
      <c r="S76" s="4"/>
      <c r="T76" s="48"/>
      <c r="V76" s="94"/>
      <c r="W76" s="53">
        <v>2021</v>
      </c>
      <c r="X76" s="2">
        <v>24249.661438277712</v>
      </c>
      <c r="Y76" s="48"/>
      <c r="Z76" s="4"/>
      <c r="AA76" s="48"/>
    </row>
    <row r="77" spans="1:27" s="82" customFormat="1" x14ac:dyDescent="0.25">
      <c r="A77" s="93"/>
      <c r="B77" s="53">
        <v>2022</v>
      </c>
      <c r="C77" s="2">
        <v>39107.430227171906</v>
      </c>
      <c r="D77" s="48"/>
      <c r="E77" s="48"/>
      <c r="F77" s="48"/>
      <c r="H77" s="94"/>
      <c r="I77" s="53">
        <v>2022</v>
      </c>
      <c r="J77" s="2">
        <v>39073.442132223303</v>
      </c>
      <c r="K77" s="48"/>
      <c r="L77" s="4"/>
      <c r="M77" s="48"/>
      <c r="O77" s="94"/>
      <c r="P77" s="53">
        <v>2022</v>
      </c>
      <c r="Q77" s="2">
        <v>42991.359361449722</v>
      </c>
      <c r="R77" s="48"/>
      <c r="S77" s="4"/>
      <c r="T77" s="48"/>
      <c r="V77" s="94"/>
      <c r="W77" s="53">
        <v>2022</v>
      </c>
      <c r="X77" s="2">
        <v>41444.950231151808</v>
      </c>
      <c r="Y77" s="48"/>
      <c r="Z77" s="4"/>
      <c r="AA77" s="48"/>
    </row>
    <row r="78" spans="1:27" s="82" customFormat="1" x14ac:dyDescent="0.25">
      <c r="A78" s="93"/>
      <c r="B78" s="53">
        <v>2023</v>
      </c>
      <c r="C78" s="2">
        <v>92916.99229363905</v>
      </c>
      <c r="D78" s="81"/>
      <c r="E78" s="81"/>
      <c r="F78" s="81"/>
      <c r="H78" s="94"/>
      <c r="I78" s="53">
        <v>2023</v>
      </c>
      <c r="J78" s="2">
        <v>88419.825173756981</v>
      </c>
      <c r="K78" s="81"/>
      <c r="L78" s="4"/>
      <c r="M78" s="81"/>
      <c r="O78" s="94"/>
      <c r="P78" s="53">
        <v>2023</v>
      </c>
      <c r="Q78" s="2">
        <v>80182.7211054457</v>
      </c>
      <c r="R78" s="81"/>
      <c r="S78" s="4"/>
      <c r="T78" s="81"/>
      <c r="V78" s="94"/>
      <c r="W78" s="53">
        <v>2023</v>
      </c>
      <c r="X78" s="2">
        <v>124644.20390669949</v>
      </c>
      <c r="Y78" s="81"/>
      <c r="Z78" s="4"/>
      <c r="AA78" s="81"/>
    </row>
    <row r="79" spans="1:27" s="82" customFormat="1" x14ac:dyDescent="0.25">
      <c r="A79" s="93"/>
      <c r="B79" s="53">
        <v>2024</v>
      </c>
      <c r="C79" s="2">
        <v>9899.760168110106</v>
      </c>
      <c r="H79" s="94"/>
      <c r="I79" s="53">
        <v>2024</v>
      </c>
      <c r="J79" s="2">
        <v>6563.5111364296108</v>
      </c>
      <c r="L79" s="4"/>
      <c r="O79" s="94"/>
      <c r="P79" s="53">
        <v>2024</v>
      </c>
      <c r="Q79" s="2">
        <v>-14810.307186628052</v>
      </c>
      <c r="S79" s="4"/>
      <c r="V79" s="94"/>
      <c r="W79" s="53">
        <v>2024</v>
      </c>
      <c r="X79" s="2">
        <v>39111.216127469103</v>
      </c>
      <c r="Z79" s="4"/>
    </row>
    <row r="80" spans="1:27" s="82" customFormat="1" x14ac:dyDescent="0.25">
      <c r="A80" s="93"/>
      <c r="B80" s="53">
        <v>2025</v>
      </c>
      <c r="C80" s="2">
        <v>59306.780322415536</v>
      </c>
      <c r="H80" s="94"/>
      <c r="I80" s="53">
        <v>2025</v>
      </c>
      <c r="J80" s="2">
        <v>16361.8044495513</v>
      </c>
      <c r="L80" s="4"/>
      <c r="O80" s="94"/>
      <c r="P80" s="53">
        <v>2025</v>
      </c>
      <c r="Q80" s="2">
        <v>24191.422278981805</v>
      </c>
      <c r="S80" s="4"/>
      <c r="V80" s="94"/>
      <c r="W80" s="53">
        <v>2025</v>
      </c>
      <c r="X80" s="2">
        <v>39111.216127469219</v>
      </c>
      <c r="Z80" s="4"/>
    </row>
    <row r="81" spans="1:27" s="82" customFormat="1" x14ac:dyDescent="0.25">
      <c r="A81" s="93"/>
      <c r="B81" s="53">
        <v>2026</v>
      </c>
      <c r="C81" s="2">
        <v>50405.493790375433</v>
      </c>
      <c r="H81" s="94"/>
      <c r="I81" s="53">
        <v>2026</v>
      </c>
      <c r="J81" s="2">
        <v>16361.804449551073</v>
      </c>
      <c r="L81" s="4"/>
      <c r="O81" s="94"/>
      <c r="P81" s="53">
        <v>2026</v>
      </c>
      <c r="Q81" s="2">
        <v>31521.591996036932</v>
      </c>
      <c r="S81" s="4"/>
      <c r="V81" s="94"/>
      <c r="W81" s="53">
        <v>2026</v>
      </c>
      <c r="X81" s="2">
        <v>39111.216127469103</v>
      </c>
      <c r="Z81" s="4"/>
    </row>
    <row r="82" spans="1:27" s="82" customFormat="1" x14ac:dyDescent="0.25">
      <c r="A82" s="93"/>
      <c r="B82" s="53">
        <v>2027</v>
      </c>
      <c r="C82" s="2">
        <v>50435.62743414077</v>
      </c>
      <c r="H82" s="94"/>
      <c r="I82" s="53">
        <v>2027</v>
      </c>
      <c r="J82" s="2">
        <v>22132.370013628817</v>
      </c>
      <c r="L82" s="4"/>
      <c r="O82" s="94"/>
      <c r="P82" s="53">
        <v>2027</v>
      </c>
      <c r="Q82" s="2">
        <v>31656.610285147734</v>
      </c>
      <c r="S82" s="4"/>
      <c r="V82" s="94"/>
      <c r="W82" s="53">
        <v>2027</v>
      </c>
      <c r="X82" s="2">
        <v>39009.848411512394</v>
      </c>
      <c r="Z82" s="4"/>
    </row>
    <row r="83" spans="1:27" s="82" customFormat="1" x14ac:dyDescent="0.25">
      <c r="A83" s="93"/>
      <c r="B83" s="53">
        <v>2028</v>
      </c>
      <c r="C83" s="2">
        <v>50334.655582910957</v>
      </c>
      <c r="H83" s="94"/>
      <c r="I83" s="53">
        <v>2028</v>
      </c>
      <c r="J83" s="2">
        <v>22132.370013628588</v>
      </c>
      <c r="L83" s="4"/>
      <c r="O83" s="94"/>
      <c r="P83" s="53">
        <v>2028</v>
      </c>
      <c r="Q83" s="2">
        <v>31585.18459045831</v>
      </c>
      <c r="S83" s="4"/>
      <c r="V83" s="94"/>
      <c r="W83" s="53">
        <v>2028</v>
      </c>
      <c r="X83" s="2">
        <v>38233.440637101696</v>
      </c>
      <c r="Z83" s="4"/>
    </row>
    <row r="84" spans="1:27" s="82" customFormat="1" x14ac:dyDescent="0.25">
      <c r="A84" s="93"/>
      <c r="B84" s="53">
        <v>2029</v>
      </c>
      <c r="C84" s="2">
        <v>39034.93866868507</v>
      </c>
      <c r="H84" s="94"/>
      <c r="I84" s="53">
        <v>2029</v>
      </c>
      <c r="J84" s="2">
        <v>21715.100169851896</v>
      </c>
      <c r="L84" s="4"/>
      <c r="O84" s="94"/>
      <c r="P84" s="53">
        <v>2029</v>
      </c>
      <c r="Q84" s="2">
        <v>22480.825790604285</v>
      </c>
      <c r="S84" s="4"/>
      <c r="V84" s="94"/>
      <c r="W84" s="53">
        <v>2029</v>
      </c>
      <c r="X84" s="2">
        <v>21460.429163079425</v>
      </c>
      <c r="Z84" s="4"/>
    </row>
    <row r="85" spans="1:27" s="82" customFormat="1" x14ac:dyDescent="0.25">
      <c r="A85" s="93"/>
      <c r="B85" s="53">
        <v>2030</v>
      </c>
      <c r="C85" s="2">
        <v>18123.379407871198</v>
      </c>
      <c r="H85" s="94"/>
      <c r="I85" s="53">
        <v>2030</v>
      </c>
      <c r="J85" s="2">
        <v>18494.161635298497</v>
      </c>
      <c r="L85" s="4"/>
      <c r="O85" s="94"/>
      <c r="P85" s="53">
        <v>2030</v>
      </c>
      <c r="Q85" s="2">
        <v>20519.124685810537</v>
      </c>
      <c r="S85" s="4"/>
      <c r="V85" s="94"/>
      <c r="W85" s="53">
        <v>2030</v>
      </c>
      <c r="X85" s="2">
        <v>21354.018242052916</v>
      </c>
      <c r="Z85" s="4"/>
    </row>
    <row r="86" spans="1:27" s="82" customFormat="1" x14ac:dyDescent="0.25">
      <c r="A86" s="93"/>
      <c r="B86" s="53">
        <v>2031</v>
      </c>
      <c r="C86" s="2">
        <v>18123.379407871198</v>
      </c>
      <c r="H86" s="94"/>
      <c r="I86" s="53">
        <v>2031</v>
      </c>
      <c r="J86" s="2">
        <v>18494.161635298497</v>
      </c>
      <c r="L86" s="4"/>
      <c r="O86" s="94"/>
      <c r="P86" s="53">
        <v>2031</v>
      </c>
      <c r="Q86" s="2">
        <v>20519.124685810537</v>
      </c>
      <c r="S86" s="4"/>
      <c r="V86" s="94"/>
      <c r="W86" s="53">
        <v>2031</v>
      </c>
      <c r="X86" s="2">
        <v>30841.660465424182</v>
      </c>
      <c r="Z86" s="4"/>
    </row>
    <row r="87" spans="1:27" s="82" customFormat="1" x14ac:dyDescent="0.25">
      <c r="A87" s="93"/>
      <c r="B87" s="53">
        <v>2032</v>
      </c>
      <c r="C87" s="2">
        <v>18134.847663496203</v>
      </c>
      <c r="H87" s="94"/>
      <c r="I87" s="53">
        <v>2032</v>
      </c>
      <c r="J87" s="2">
        <v>20154.019531396669</v>
      </c>
      <c r="L87" s="4"/>
      <c r="O87" s="94"/>
      <c r="P87" s="53">
        <v>2032</v>
      </c>
      <c r="Q87" s="2">
        <v>23105.662846284304</v>
      </c>
      <c r="S87" s="4"/>
      <c r="V87" s="94"/>
      <c r="W87" s="53">
        <v>2032</v>
      </c>
      <c r="X87" s="2">
        <v>18293.052320706465</v>
      </c>
      <c r="Z87" s="4"/>
    </row>
    <row r="88" spans="1:27" s="82" customFormat="1" x14ac:dyDescent="0.25">
      <c r="A88" s="93"/>
      <c r="B88" s="53" t="s">
        <v>73</v>
      </c>
      <c r="C88" s="2">
        <v>56366.804993421967</v>
      </c>
      <c r="H88" s="94"/>
      <c r="I88" s="53" t="s">
        <v>73</v>
      </c>
      <c r="J88" s="2">
        <v>55295.932854706734</v>
      </c>
      <c r="L88" s="4"/>
      <c r="O88" s="94"/>
      <c r="P88" s="53" t="s">
        <v>73</v>
      </c>
      <c r="Q88" s="2">
        <v>58174.576673136246</v>
      </c>
      <c r="S88" s="4"/>
      <c r="V88" s="94"/>
      <c r="W88" s="53" t="s">
        <v>73</v>
      </c>
      <c r="X88" s="2">
        <v>57607.021068159156</v>
      </c>
      <c r="Z88" s="4"/>
    </row>
    <row r="89" spans="1:27" s="82" customFormat="1" x14ac:dyDescent="0.25">
      <c r="A89" s="41"/>
      <c r="B89" s="65"/>
      <c r="C89" s="4"/>
      <c r="D89" s="4"/>
      <c r="E89" s="4"/>
      <c r="H89" s="41"/>
      <c r="I89" s="65"/>
      <c r="J89" s="4"/>
      <c r="K89" s="4"/>
      <c r="L89" s="4"/>
      <c r="O89" s="41"/>
      <c r="P89" s="65"/>
      <c r="Q89" s="4"/>
      <c r="R89" s="4"/>
      <c r="S89" s="4"/>
      <c r="V89" s="41"/>
      <c r="W89" s="65"/>
      <c r="X89" s="4"/>
      <c r="Y89" s="4"/>
      <c r="Z89" s="4"/>
    </row>
    <row r="90" spans="1:27" x14ac:dyDescent="0.25">
      <c r="A90" s="8" t="s">
        <v>25</v>
      </c>
    </row>
    <row r="91" spans="1:27" x14ac:dyDescent="0.25">
      <c r="A91" s="38" t="s">
        <v>9</v>
      </c>
      <c r="B91" s="38"/>
      <c r="C91" s="38"/>
      <c r="D91" s="38"/>
      <c r="E91" s="38"/>
      <c r="F91" s="1"/>
      <c r="H91" s="38" t="s">
        <v>89</v>
      </c>
      <c r="I91" s="38"/>
      <c r="J91" s="38"/>
      <c r="K91" s="38"/>
      <c r="L91" s="38"/>
      <c r="M91" s="1"/>
      <c r="N91" s="3"/>
      <c r="O91" s="38" t="s">
        <v>20</v>
      </c>
      <c r="P91" s="38"/>
      <c r="Q91" s="38"/>
      <c r="R91" s="38"/>
      <c r="S91" s="38"/>
      <c r="T91" s="1"/>
      <c r="V91" s="38" t="s">
        <v>21</v>
      </c>
      <c r="W91" s="38"/>
      <c r="X91" s="38"/>
      <c r="Y91" s="38"/>
      <c r="Z91" s="38"/>
      <c r="AA91" s="1"/>
    </row>
    <row r="92" spans="1:27" x14ac:dyDescent="0.25">
      <c r="A92" s="1" t="s">
        <v>1</v>
      </c>
      <c r="B92" s="38" t="s">
        <v>2</v>
      </c>
      <c r="C92" s="38" t="s">
        <v>22</v>
      </c>
      <c r="D92" s="38" t="s">
        <v>3</v>
      </c>
      <c r="E92" s="38" t="s">
        <v>23</v>
      </c>
      <c r="F92" s="38" t="s">
        <v>24</v>
      </c>
      <c r="H92" s="1" t="s">
        <v>1</v>
      </c>
      <c r="I92" s="38" t="s">
        <v>2</v>
      </c>
      <c r="J92" s="38" t="s">
        <v>22</v>
      </c>
      <c r="K92" s="38" t="s">
        <v>3</v>
      </c>
      <c r="L92" s="38" t="s">
        <v>23</v>
      </c>
      <c r="M92" s="38" t="s">
        <v>24</v>
      </c>
      <c r="N92" s="39"/>
      <c r="O92" s="1" t="s">
        <v>1</v>
      </c>
      <c r="P92" s="38" t="s">
        <v>2</v>
      </c>
      <c r="Q92" s="38" t="s">
        <v>22</v>
      </c>
      <c r="R92" s="38" t="s">
        <v>3</v>
      </c>
      <c r="S92" s="38" t="s">
        <v>23</v>
      </c>
      <c r="T92" s="38" t="s">
        <v>24</v>
      </c>
      <c r="V92" s="1" t="s">
        <v>1</v>
      </c>
      <c r="W92" s="38" t="s">
        <v>2</v>
      </c>
      <c r="X92" s="38" t="s">
        <v>22</v>
      </c>
      <c r="Y92" s="38" t="s">
        <v>3</v>
      </c>
      <c r="Z92" s="38" t="s">
        <v>23</v>
      </c>
      <c r="AA92" s="38" t="s">
        <v>24</v>
      </c>
    </row>
    <row r="93" spans="1:27" s="42" customFormat="1" x14ac:dyDescent="0.25">
      <c r="A93" s="43">
        <v>2020</v>
      </c>
      <c r="B93" s="78">
        <v>5375.8596324427053</v>
      </c>
      <c r="C93" s="78">
        <v>1287.9707112931646</v>
      </c>
      <c r="D93" s="78">
        <v>1310.0270640563685</v>
      </c>
      <c r="E93" s="78">
        <v>-0.91339416298433207</v>
      </c>
      <c r="F93" s="78">
        <v>922.1384576598648</v>
      </c>
      <c r="H93" s="53">
        <v>2020</v>
      </c>
      <c r="I93" s="46">
        <v>4723.2798332725652</v>
      </c>
      <c r="J93" s="46">
        <v>1692.4531901914161</v>
      </c>
      <c r="K93" s="46">
        <v>1435.9217425436364</v>
      </c>
      <c r="L93" s="46">
        <v>-0.93540459366340656</v>
      </c>
      <c r="M93" s="46">
        <v>1009.7906010160805</v>
      </c>
      <c r="N93" s="39"/>
      <c r="O93" s="43">
        <v>2020</v>
      </c>
      <c r="P93" s="46">
        <v>2227.6592940855771</v>
      </c>
      <c r="Q93" s="46">
        <v>1218.5240265115863</v>
      </c>
      <c r="R93" s="46">
        <v>125.78863598720636</v>
      </c>
      <c r="S93" s="46">
        <v>2.2616267448320286</v>
      </c>
      <c r="T93" s="46">
        <v>1117.3257226425339</v>
      </c>
      <c r="V93" s="43">
        <v>2020</v>
      </c>
      <c r="W93" s="46">
        <v>4168.8010635741521</v>
      </c>
      <c r="X93" s="46">
        <v>1112.5504327064846</v>
      </c>
      <c r="Y93" s="46">
        <v>291.65350184182171</v>
      </c>
      <c r="Z93" s="46">
        <v>50.135574187086604</v>
      </c>
      <c r="AA93" s="46">
        <v>692.06985188368708</v>
      </c>
    </row>
    <row r="94" spans="1:27" x14ac:dyDescent="0.25">
      <c r="A94" s="1">
        <v>2021</v>
      </c>
      <c r="B94" s="78">
        <v>-1180.7801815869752</v>
      </c>
      <c r="C94" s="78">
        <v>-1371.1249904173892</v>
      </c>
      <c r="D94" s="78">
        <v>448.40668142942013</v>
      </c>
      <c r="E94" s="78">
        <v>-1.3545277685479959</v>
      </c>
      <c r="F94" s="78">
        <v>335.93593358638464</v>
      </c>
      <c r="H94" s="53">
        <v>2021</v>
      </c>
      <c r="I94" s="53">
        <v>-1291.1538628856651</v>
      </c>
      <c r="J94" s="53">
        <v>-891.41432308522053</v>
      </c>
      <c r="K94" s="53">
        <v>396.62553708354244</v>
      </c>
      <c r="L94" s="53">
        <v>0.37740272901282879</v>
      </c>
      <c r="M94" s="53">
        <v>350.009633412119</v>
      </c>
      <c r="N94" s="3"/>
      <c r="O94" s="1">
        <v>2021</v>
      </c>
      <c r="P94" s="53">
        <v>-2473.4933358526323</v>
      </c>
      <c r="Q94" s="53">
        <v>-865.41466699237935</v>
      </c>
      <c r="R94" s="53">
        <v>-191.18162016448332</v>
      </c>
      <c r="S94" s="53">
        <v>-1.7999455946555827</v>
      </c>
      <c r="T94" s="53">
        <v>322.43530639010714</v>
      </c>
      <c r="V94" s="1">
        <v>2021</v>
      </c>
      <c r="W94" s="53">
        <v>-2532.3705428445246</v>
      </c>
      <c r="X94" s="53">
        <v>-928.61525338003412</v>
      </c>
      <c r="Y94" s="53">
        <v>-935.53770850546425</v>
      </c>
      <c r="Z94" s="53">
        <v>-30.938484511018032</v>
      </c>
      <c r="AA94" s="53">
        <v>-420.75857785489643</v>
      </c>
    </row>
    <row r="95" spans="1:27" x14ac:dyDescent="0.25">
      <c r="A95" s="1">
        <v>2022</v>
      </c>
      <c r="B95" s="79">
        <v>-5501.0639238753356</v>
      </c>
      <c r="C95" s="79">
        <v>-1808.5362388386857</v>
      </c>
      <c r="D95" s="79">
        <v>-1623.1959653861704</v>
      </c>
      <c r="E95" s="79">
        <v>3.6583289672489627</v>
      </c>
      <c r="F95" s="79">
        <v>-367.07437812065473</v>
      </c>
      <c r="H95" s="53">
        <v>2022</v>
      </c>
      <c r="I95" s="53">
        <v>-4934.1526317179669</v>
      </c>
      <c r="J95" s="53">
        <v>-2064.4745567555074</v>
      </c>
      <c r="K95" s="53">
        <v>-2066.9511893609306</v>
      </c>
      <c r="L95" s="53">
        <v>4.0591872267614235</v>
      </c>
      <c r="M95" s="53">
        <v>-284.66584804496961</v>
      </c>
      <c r="N95" s="39"/>
      <c r="O95" s="1">
        <v>2022</v>
      </c>
      <c r="P95" s="53">
        <v>-5224.9197198906913</v>
      </c>
      <c r="Q95" s="53">
        <v>-1980.9866720222635</v>
      </c>
      <c r="R95" s="53">
        <v>-546.88890898652608</v>
      </c>
      <c r="S95" s="53">
        <v>-5.0903233847857337</v>
      </c>
      <c r="T95" s="53">
        <v>536.45959965395741</v>
      </c>
      <c r="V95" s="1">
        <v>2022</v>
      </c>
      <c r="W95" s="53">
        <v>-9314.0660965770949</v>
      </c>
      <c r="X95" s="53">
        <v>-2822.9944740610663</v>
      </c>
      <c r="Y95" s="53">
        <v>-14512.778834645869</v>
      </c>
      <c r="Z95" s="53">
        <v>656.70766323663702</v>
      </c>
      <c r="AA95" s="53">
        <v>-2446.1612139919889</v>
      </c>
    </row>
    <row r="96" spans="1:27" x14ac:dyDescent="0.25">
      <c r="A96" s="1">
        <v>2023</v>
      </c>
      <c r="B96" s="78">
        <v>-16620.433634210844</v>
      </c>
      <c r="C96" s="78">
        <v>-16896.270119010704</v>
      </c>
      <c r="D96" s="78">
        <v>-5924.9503042289289</v>
      </c>
      <c r="E96" s="78">
        <v>4.5135994157972164</v>
      </c>
      <c r="F96" s="78">
        <v>-6882.1945493287058</v>
      </c>
      <c r="H96" s="53">
        <v>2023</v>
      </c>
      <c r="I96" s="53">
        <v>-16265.964067047928</v>
      </c>
      <c r="J96" s="53">
        <v>-15319.519370258786</v>
      </c>
      <c r="K96" s="53">
        <v>-5625.2127669882029</v>
      </c>
      <c r="L96" s="53">
        <v>2.7660160745799658</v>
      </c>
      <c r="M96" s="53">
        <v>-6482.8063805510756</v>
      </c>
      <c r="N96" s="39"/>
      <c r="O96" s="1">
        <v>2023</v>
      </c>
      <c r="P96" s="53">
        <v>3580.113772258861</v>
      </c>
      <c r="Q96" s="53">
        <v>-1872.0648720009485</v>
      </c>
      <c r="R96" s="53">
        <v>-589.94824872602476</v>
      </c>
      <c r="S96" s="53">
        <v>-20.203385125118075</v>
      </c>
      <c r="T96" s="53">
        <v>-7312.4612072536838</v>
      </c>
      <c r="V96" s="1">
        <v>2023</v>
      </c>
      <c r="W96" s="53">
        <v>-27872.785319529474</v>
      </c>
      <c r="X96" s="53">
        <v>-16751.170342201367</v>
      </c>
      <c r="Y96" s="53">
        <v>-34187.722614046652</v>
      </c>
      <c r="Z96" s="53">
        <v>-26805.18234907552</v>
      </c>
      <c r="AA96" s="53">
        <v>-13969.056871116802</v>
      </c>
    </row>
    <row r="97" spans="1:27" x14ac:dyDescent="0.25">
      <c r="A97" s="1">
        <v>2024</v>
      </c>
      <c r="B97" s="79">
        <v>5214.3252314412966</v>
      </c>
      <c r="C97" s="79">
        <v>1862.3299058822449</v>
      </c>
      <c r="D97" s="79">
        <v>-26.187657569069415</v>
      </c>
      <c r="E97" s="79">
        <v>7.802751001836441</v>
      </c>
      <c r="F97" s="79">
        <v>120.57740773400292</v>
      </c>
      <c r="H97" s="53">
        <v>2024</v>
      </c>
      <c r="I97" s="53">
        <v>5625.5901811767835</v>
      </c>
      <c r="J97" s="53">
        <v>3096.9474945038091</v>
      </c>
      <c r="K97" s="53">
        <v>299.23245290946215</v>
      </c>
      <c r="L97" s="53">
        <v>8.3266013212269172</v>
      </c>
      <c r="M97" s="53">
        <v>57.930665558844339</v>
      </c>
      <c r="N97" s="39"/>
      <c r="O97" s="1">
        <v>2024</v>
      </c>
      <c r="P97" s="53">
        <v>14230.113162843743</v>
      </c>
      <c r="Q97" s="53">
        <v>1803.373096558149</v>
      </c>
      <c r="R97" s="53">
        <v>136.75930783594958</v>
      </c>
      <c r="S97" s="53">
        <v>-15.268118080792192</v>
      </c>
      <c r="T97" s="53">
        <v>982.76411918905796</v>
      </c>
      <c r="V97" s="1">
        <v>2024</v>
      </c>
      <c r="W97" s="53">
        <v>-4478.3748786719516</v>
      </c>
      <c r="X97" s="53">
        <v>-2911.2186289811507</v>
      </c>
      <c r="Y97" s="53">
        <v>-6348.1820988964173</v>
      </c>
      <c r="Z97" s="53">
        <v>386.76286374079791</v>
      </c>
      <c r="AA97" s="53">
        <v>-1123.0708018796286</v>
      </c>
    </row>
    <row r="98" spans="1:27" x14ac:dyDescent="0.25">
      <c r="A98" s="1">
        <v>2025</v>
      </c>
      <c r="B98" s="78">
        <v>-8318.0164137352258</v>
      </c>
      <c r="C98" s="78">
        <v>-6250.9903596332297</v>
      </c>
      <c r="D98" s="78">
        <v>-2076.2543885172636</v>
      </c>
      <c r="E98" s="78">
        <v>-4.7921630267519504</v>
      </c>
      <c r="F98" s="78">
        <v>-2015.5322920720209</v>
      </c>
      <c r="H98" s="53">
        <v>2025</v>
      </c>
      <c r="I98" s="53">
        <v>7034.0843420019373</v>
      </c>
      <c r="J98" s="53">
        <v>3038.5968181740027</v>
      </c>
      <c r="K98" s="53">
        <v>255.4611082938427</v>
      </c>
      <c r="L98" s="53">
        <v>0.12287148276664084</v>
      </c>
      <c r="M98" s="53">
        <v>-322.3487221710966</v>
      </c>
      <c r="N98" s="39"/>
      <c r="O98" s="1">
        <v>2025</v>
      </c>
      <c r="P98" s="53">
        <v>5435.6574762485689</v>
      </c>
      <c r="Q98" s="53">
        <v>1467.0423588486155</v>
      </c>
      <c r="R98" s="53">
        <v>142.98901683356962</v>
      </c>
      <c r="S98" s="53">
        <v>-40.019151098771545</v>
      </c>
      <c r="T98" s="53">
        <v>-556.12991320685251</v>
      </c>
      <c r="V98" s="1">
        <v>2025</v>
      </c>
      <c r="W98" s="53">
        <v>-5729.2573121557944</v>
      </c>
      <c r="X98" s="53">
        <v>-1339.4160997797735</v>
      </c>
      <c r="Y98" s="53">
        <v>-1894.5685115275555</v>
      </c>
      <c r="Z98" s="53">
        <v>-1907.9790364057699</v>
      </c>
      <c r="AA98" s="53">
        <v>-3084.8431037127157</v>
      </c>
    </row>
    <row r="99" spans="1:27" x14ac:dyDescent="0.25">
      <c r="A99" s="1">
        <v>2026</v>
      </c>
      <c r="B99" s="79">
        <v>-2775.3768727593124</v>
      </c>
      <c r="C99" s="79">
        <v>-3890.9658516144846</v>
      </c>
      <c r="D99" s="79">
        <v>-1732.1848279524929</v>
      </c>
      <c r="E99" s="79">
        <v>14.742500790627673</v>
      </c>
      <c r="F99" s="79">
        <v>-1722.491938999563</v>
      </c>
      <c r="H99" s="53">
        <v>2026</v>
      </c>
      <c r="I99" s="53">
        <v>7123.8133033413906</v>
      </c>
      <c r="J99" s="53">
        <v>3193.6079145479016</v>
      </c>
      <c r="K99" s="53">
        <v>461.59490166086471</v>
      </c>
      <c r="L99" s="53">
        <v>4.0631112703704275</v>
      </c>
      <c r="M99" s="53">
        <v>-857.91302489262307</v>
      </c>
      <c r="N99" s="39"/>
      <c r="O99" s="1">
        <v>2026</v>
      </c>
      <c r="P99" s="53">
        <v>1161.7103131989716</v>
      </c>
      <c r="Q99" s="53">
        <v>427.4401790513657</v>
      </c>
      <c r="R99" s="53">
        <v>-86.815632165007628</v>
      </c>
      <c r="S99" s="53">
        <v>7.9825330416060751</v>
      </c>
      <c r="T99" s="53">
        <v>-159.37344229186419</v>
      </c>
      <c r="V99" s="1">
        <v>2026</v>
      </c>
      <c r="W99" s="53">
        <v>1221.8037676564418</v>
      </c>
      <c r="X99" s="53">
        <v>-641.94139271904714</v>
      </c>
      <c r="Y99" s="53">
        <v>-1277.895438924199</v>
      </c>
      <c r="Z99" s="53">
        <v>-14.358861528642592</v>
      </c>
      <c r="AA99" s="53">
        <v>-7917.1969387815916</v>
      </c>
    </row>
    <row r="100" spans="1:27" x14ac:dyDescent="0.25">
      <c r="A100" s="1">
        <v>2027</v>
      </c>
      <c r="B100" s="78">
        <v>-2558.47412108141</v>
      </c>
      <c r="C100" s="78">
        <v>-3247.9715742499102</v>
      </c>
      <c r="D100" s="78">
        <v>492.91634298197459</v>
      </c>
      <c r="E100" s="78">
        <v>-4.4335828346811468</v>
      </c>
      <c r="F100" s="78">
        <v>-1823.3808378378744</v>
      </c>
      <c r="H100" s="53">
        <v>2027</v>
      </c>
      <c r="I100" s="53">
        <v>6124.185600931989</v>
      </c>
      <c r="J100" s="53">
        <v>1343.0990496026352</v>
      </c>
      <c r="K100" s="53">
        <v>-362.12152642069123</v>
      </c>
      <c r="L100" s="53">
        <v>-11.779451850699843</v>
      </c>
      <c r="M100" s="53">
        <v>-973.47611272899667</v>
      </c>
      <c r="N100" s="39"/>
      <c r="O100" s="1">
        <v>2027</v>
      </c>
      <c r="P100" s="53">
        <v>1361.1781557949726</v>
      </c>
      <c r="Q100" s="53">
        <v>1267.8823215917218</v>
      </c>
      <c r="R100" s="53">
        <v>253.08035424724221</v>
      </c>
      <c r="S100" s="53">
        <v>-3.8168492777476786</v>
      </c>
      <c r="T100" s="53">
        <v>-397.26783462712774</v>
      </c>
      <c r="V100" s="1">
        <v>2027</v>
      </c>
      <c r="W100" s="53">
        <v>-3933.2448988978285</v>
      </c>
      <c r="X100" s="53">
        <v>133.95622746436857</v>
      </c>
      <c r="Y100" s="53">
        <v>-2075.958086172177</v>
      </c>
      <c r="Z100" s="53">
        <v>1555.1975956365786</v>
      </c>
      <c r="AA100" s="53">
        <v>-3687.4630300054559</v>
      </c>
    </row>
    <row r="101" spans="1:27" x14ac:dyDescent="0.25">
      <c r="A101" s="1">
        <v>2028</v>
      </c>
      <c r="B101" s="79">
        <v>-1966.3920719923917</v>
      </c>
      <c r="C101" s="79">
        <v>-4343.8741167874541</v>
      </c>
      <c r="D101" s="79">
        <v>-95.241010606121563</v>
      </c>
      <c r="E101" s="79">
        <v>0.19947463454445824</v>
      </c>
      <c r="F101" s="79">
        <v>-1985.6874338865746</v>
      </c>
      <c r="H101" s="53">
        <v>2028</v>
      </c>
      <c r="I101" s="53">
        <v>7464.2936681883875</v>
      </c>
      <c r="J101" s="53">
        <v>681.74845327204093</v>
      </c>
      <c r="K101" s="53">
        <v>-512.82097971202893</v>
      </c>
      <c r="L101" s="53">
        <v>4.7214551763318013E-2</v>
      </c>
      <c r="M101" s="53">
        <v>-1499.7033760393388</v>
      </c>
      <c r="N101" s="39"/>
      <c r="O101" s="1">
        <v>2028</v>
      </c>
      <c r="P101" s="53">
        <v>-23.843309734365903</v>
      </c>
      <c r="Q101" s="53">
        <v>1505.425865215715</v>
      </c>
      <c r="R101" s="53">
        <v>159.44792934792349</v>
      </c>
      <c r="S101" s="53">
        <v>-3.4984955089457799</v>
      </c>
      <c r="T101" s="53">
        <v>-110.56755241658539</v>
      </c>
      <c r="V101" s="1">
        <v>2028</v>
      </c>
      <c r="W101" s="53">
        <v>349.88014406803995</v>
      </c>
      <c r="X101" s="53">
        <v>-820.58411241951399</v>
      </c>
      <c r="Y101" s="53">
        <v>-377.17196468025213</v>
      </c>
      <c r="Z101" s="53">
        <v>-1095.1891544280516</v>
      </c>
      <c r="AA101" s="53">
        <v>-4261.981717799441</v>
      </c>
    </row>
    <row r="102" spans="1:27" x14ac:dyDescent="0.25">
      <c r="A102" s="1">
        <v>2029</v>
      </c>
      <c r="B102" s="78">
        <v>3765.3159709956963</v>
      </c>
      <c r="C102" s="78">
        <v>1800.7271690212656</v>
      </c>
      <c r="D102" s="78">
        <v>-353.6051859013096</v>
      </c>
      <c r="E102" s="78">
        <v>-4.3777927382980124</v>
      </c>
      <c r="F102" s="78">
        <v>-2923.9780721162097</v>
      </c>
      <c r="H102" s="53">
        <v>2029</v>
      </c>
      <c r="I102" s="53">
        <v>9416.6349728673231</v>
      </c>
      <c r="J102" s="53">
        <v>-196.57541717588902</v>
      </c>
      <c r="K102" s="53">
        <v>125.21445144416066</v>
      </c>
      <c r="L102" s="53">
        <v>-4.3705344430491095</v>
      </c>
      <c r="M102" s="53">
        <v>-1446.7673260422889</v>
      </c>
      <c r="N102" s="39"/>
      <c r="O102" s="1">
        <v>2029</v>
      </c>
      <c r="P102" s="53">
        <v>3589.3882790848147</v>
      </c>
      <c r="Q102" s="53">
        <v>2279.5381523559336</v>
      </c>
      <c r="R102" s="53">
        <v>-49.932331159507157</v>
      </c>
      <c r="S102" s="53">
        <v>7.2633528251462849</v>
      </c>
      <c r="T102" s="53">
        <v>471.42949204012984</v>
      </c>
      <c r="V102" s="1">
        <v>2029</v>
      </c>
      <c r="W102" s="53">
        <v>9286.6538516543806</v>
      </c>
      <c r="X102" s="53">
        <v>2765.9777005766518</v>
      </c>
      <c r="Y102" s="53">
        <v>7158.6230511387694</v>
      </c>
      <c r="Z102" s="53">
        <v>8436.5885266091791</v>
      </c>
      <c r="AA102" s="53">
        <v>8288.8133918113308</v>
      </c>
    </row>
    <row r="103" spans="1:27" x14ac:dyDescent="0.25">
      <c r="A103" s="1">
        <v>2030</v>
      </c>
      <c r="B103" s="79">
        <v>6758.7467969057616</v>
      </c>
      <c r="C103" s="79">
        <v>1421.4161170157604</v>
      </c>
      <c r="D103" s="79">
        <v>-289.82852376946539</v>
      </c>
      <c r="E103" s="79">
        <v>-22.382707904944255</v>
      </c>
      <c r="F103" s="79">
        <v>-858.92328272602754</v>
      </c>
      <c r="H103" s="53">
        <v>2030</v>
      </c>
      <c r="I103" s="53">
        <v>6669.2513437627349</v>
      </c>
      <c r="J103" s="53">
        <v>1483.4245706971269</v>
      </c>
      <c r="K103" s="53">
        <v>-136.60200110771984</v>
      </c>
      <c r="L103" s="53">
        <v>1.4812594832765171</v>
      </c>
      <c r="M103" s="53">
        <v>-675.10986057022819</v>
      </c>
      <c r="N103" s="39"/>
      <c r="O103" s="1">
        <v>2030</v>
      </c>
      <c r="P103" s="53">
        <v>3788.9323113688733</v>
      </c>
      <c r="Q103" s="53">
        <v>1759.1556729465956</v>
      </c>
      <c r="R103" s="53">
        <v>72.787153104402023</v>
      </c>
      <c r="S103" s="53">
        <v>12.193407114980801</v>
      </c>
      <c r="T103" s="53">
        <v>525.9838401999441</v>
      </c>
      <c r="V103" s="1">
        <v>2030</v>
      </c>
      <c r="W103" s="53">
        <v>19047.452686253935</v>
      </c>
      <c r="X103" s="53">
        <v>3377.9532838417217</v>
      </c>
      <c r="Y103" s="53">
        <v>3894.2269549022312</v>
      </c>
      <c r="Z103" s="53">
        <v>6098.6319802694779</v>
      </c>
      <c r="AA103" s="53">
        <v>272.44204530364368</v>
      </c>
    </row>
    <row r="104" spans="1:27" x14ac:dyDescent="0.25">
      <c r="A104" s="1">
        <v>2031</v>
      </c>
      <c r="B104" s="78">
        <v>6821.6405833507888</v>
      </c>
      <c r="C104" s="78">
        <v>3102.6647880205419</v>
      </c>
      <c r="D104" s="78">
        <v>552.37518295363407</v>
      </c>
      <c r="E104" s="78">
        <v>21.620837535076134</v>
      </c>
      <c r="F104" s="78">
        <v>-1144.4208191907965</v>
      </c>
      <c r="H104" s="53">
        <v>2031</v>
      </c>
      <c r="I104" s="53">
        <v>10190.541499266634</v>
      </c>
      <c r="J104" s="53">
        <v>1487.2562415308785</v>
      </c>
      <c r="K104" s="53">
        <v>574.9283935593121</v>
      </c>
      <c r="L104" s="53">
        <v>-8.326037661274313</v>
      </c>
      <c r="M104" s="53">
        <v>-1749.6870647216565</v>
      </c>
      <c r="N104" s="39"/>
      <c r="O104" s="1">
        <v>2031</v>
      </c>
      <c r="P104" s="53">
        <v>3193.5132710081525</v>
      </c>
      <c r="Q104" s="53">
        <v>445.89511403837241</v>
      </c>
      <c r="R104" s="53">
        <v>123.83725498021522</v>
      </c>
      <c r="S104" s="53">
        <v>29.888433173393423</v>
      </c>
      <c r="T104" s="53">
        <v>660.39024543005507</v>
      </c>
      <c r="V104" s="1">
        <v>2031</v>
      </c>
      <c r="W104" s="53">
        <v>3558.6466515329666</v>
      </c>
      <c r="X104" s="53">
        <v>3543.0629983402323</v>
      </c>
      <c r="Y104" s="53">
        <v>-64.212006261746865</v>
      </c>
      <c r="Z104" s="53">
        <v>3851.9959665728966</v>
      </c>
      <c r="AA104" s="53">
        <v>-2153.9661292330129</v>
      </c>
    </row>
    <row r="105" spans="1:27" x14ac:dyDescent="0.25">
      <c r="A105" s="1">
        <v>2032</v>
      </c>
      <c r="B105" s="79">
        <v>7028.3977447682992</v>
      </c>
      <c r="C105" s="79">
        <v>5217.0719381137751</v>
      </c>
      <c r="D105" s="79">
        <v>900.67836532762158</v>
      </c>
      <c r="E105" s="79">
        <v>-3.2877103991413605</v>
      </c>
      <c r="F105" s="79">
        <v>-2830.5479466473334</v>
      </c>
      <c r="H105" s="53">
        <v>2032</v>
      </c>
      <c r="I105" s="53">
        <v>8126.2667160229757</v>
      </c>
      <c r="J105" s="53">
        <v>3052.9347488649655</v>
      </c>
      <c r="K105" s="53">
        <v>709.36353841387609</v>
      </c>
      <c r="L105" s="53">
        <v>-0.43620543148426805</v>
      </c>
      <c r="M105" s="53">
        <v>-3518.4633361166925</v>
      </c>
      <c r="N105" s="39"/>
      <c r="O105" s="1">
        <v>2032</v>
      </c>
      <c r="P105" s="53">
        <v>2241.8925984704401</v>
      </c>
      <c r="Q105" s="53">
        <v>1472.2855741266394</v>
      </c>
      <c r="R105" s="53">
        <v>524.03625371864473</v>
      </c>
      <c r="S105" s="53">
        <v>20.897902990429429</v>
      </c>
      <c r="T105" s="53">
        <v>540.89209160656901</v>
      </c>
      <c r="V105" s="1">
        <v>2032</v>
      </c>
      <c r="W105" s="53">
        <v>13474.542470263783</v>
      </c>
      <c r="X105" s="53">
        <v>3928.966915169498</v>
      </c>
      <c r="Y105" s="53">
        <v>3053.6302227024571</v>
      </c>
      <c r="Z105" s="53">
        <v>7358.3204847589077</v>
      </c>
      <c r="AA105" s="53">
        <v>5107.6021978829522</v>
      </c>
    </row>
    <row r="106" spans="1:27" s="52" customFormat="1" x14ac:dyDescent="0.25">
      <c r="A106" s="53" t="s">
        <v>45</v>
      </c>
      <c r="B106" s="78">
        <f>AVERAGE(B103:B105)</f>
        <v>6869.5950416749502</v>
      </c>
      <c r="C106" s="78">
        <f>AVERAGE(C103:C105)</f>
        <v>3247.0509477166925</v>
      </c>
      <c r="D106" s="78">
        <f>AVERAGE(D103:D105)</f>
        <v>387.74167483726342</v>
      </c>
      <c r="E106" s="78">
        <f>AVERAGE(E103:E105)</f>
        <v>-1.3498602563364936</v>
      </c>
      <c r="F106" s="78">
        <f>AVERAGE(F103:F105)</f>
        <v>-1611.2973495213857</v>
      </c>
      <c r="H106" s="53" t="s">
        <v>45</v>
      </c>
      <c r="I106" s="46">
        <f>AVERAGE(I103:I105)</f>
        <v>8328.6865196841154</v>
      </c>
      <c r="J106" s="46">
        <f>AVERAGE(J103:J105)</f>
        <v>2007.8718536976569</v>
      </c>
      <c r="K106" s="46">
        <f>AVERAGE(K103:K105)</f>
        <v>382.56331028848945</v>
      </c>
      <c r="L106" s="46">
        <f>AVERAGE(L103:L105)</f>
        <v>-2.4269945364940213</v>
      </c>
      <c r="M106" s="46">
        <f>AVERAGE(M103:M105)</f>
        <v>-1981.086753802859</v>
      </c>
      <c r="N106" s="39"/>
      <c r="O106" s="53" t="s">
        <v>45</v>
      </c>
      <c r="P106" s="46">
        <f>AVERAGE(P103:P105)</f>
        <v>3074.7793936158218</v>
      </c>
      <c r="Q106" s="46">
        <f>AVERAGE(Q103:Q105)</f>
        <v>1225.7787870372024</v>
      </c>
      <c r="R106" s="46">
        <f>AVERAGE(R103:R105)</f>
        <v>240.22022060108733</v>
      </c>
      <c r="S106" s="46">
        <f>AVERAGE(S103:S105)</f>
        <v>20.993247759601218</v>
      </c>
      <c r="T106" s="46">
        <f>AVERAGE(T103:T105)</f>
        <v>575.75539241218939</v>
      </c>
      <c r="V106" s="53" t="s">
        <v>45</v>
      </c>
      <c r="W106" s="46">
        <f>AVERAGE(W103:W105)</f>
        <v>12026.880602683561</v>
      </c>
      <c r="X106" s="46">
        <f>AVERAGE(X103:X105)</f>
        <v>3616.6610657838173</v>
      </c>
      <c r="Y106" s="46">
        <f>AVERAGE(Y103:Y105)</f>
        <v>2294.5483904476473</v>
      </c>
      <c r="Z106" s="46">
        <f>AVERAGE(Z103:Z105)</f>
        <v>5769.6494772004271</v>
      </c>
      <c r="AA106" s="46">
        <f>AVERAGE(AA103:AA105)</f>
        <v>1075.3593713178609</v>
      </c>
    </row>
    <row r="108" spans="1:27" s="82" customFormat="1" x14ac:dyDescent="0.25">
      <c r="A108" s="62" t="s">
        <v>72</v>
      </c>
    </row>
    <row r="109" spans="1:27" s="82" customFormat="1" x14ac:dyDescent="0.25">
      <c r="A109" s="46" t="s">
        <v>9</v>
      </c>
      <c r="B109" s="46"/>
      <c r="C109" s="46"/>
      <c r="D109" s="46"/>
      <c r="E109" s="46"/>
      <c r="F109" s="53"/>
      <c r="H109" s="46" t="s">
        <v>89</v>
      </c>
      <c r="I109" s="46"/>
      <c r="J109" s="46"/>
      <c r="K109" s="46"/>
      <c r="L109" s="46"/>
      <c r="M109" s="53"/>
      <c r="N109" s="65"/>
      <c r="O109" s="46" t="s">
        <v>20</v>
      </c>
      <c r="P109" s="46"/>
      <c r="Q109" s="46"/>
      <c r="R109" s="46"/>
      <c r="S109" s="46"/>
      <c r="T109" s="53"/>
      <c r="V109" s="46" t="s">
        <v>21</v>
      </c>
      <c r="W109" s="46"/>
      <c r="X109" s="46"/>
      <c r="Y109" s="46"/>
      <c r="Z109" s="46"/>
      <c r="AA109" s="53"/>
    </row>
    <row r="110" spans="1:27" s="82" customFormat="1" x14ac:dyDescent="0.25">
      <c r="A110" s="53" t="s">
        <v>1</v>
      </c>
      <c r="B110" s="46" t="s">
        <v>2</v>
      </c>
      <c r="C110" s="46" t="s">
        <v>22</v>
      </c>
      <c r="D110" s="46" t="s">
        <v>3</v>
      </c>
      <c r="E110" s="46" t="s">
        <v>23</v>
      </c>
      <c r="F110" s="46" t="s">
        <v>24</v>
      </c>
      <c r="H110" s="53" t="s">
        <v>1</v>
      </c>
      <c r="I110" s="46" t="s">
        <v>2</v>
      </c>
      <c r="J110" s="46" t="s">
        <v>22</v>
      </c>
      <c r="K110" s="46" t="s">
        <v>3</v>
      </c>
      <c r="L110" s="46" t="s">
        <v>23</v>
      </c>
      <c r="M110" s="46" t="s">
        <v>24</v>
      </c>
      <c r="N110" s="39"/>
      <c r="O110" s="53" t="s">
        <v>1</v>
      </c>
      <c r="P110" s="46" t="s">
        <v>2</v>
      </c>
      <c r="Q110" s="46" t="s">
        <v>22</v>
      </c>
      <c r="R110" s="46" t="s">
        <v>3</v>
      </c>
      <c r="S110" s="46" t="s">
        <v>23</v>
      </c>
      <c r="T110" s="46" t="s">
        <v>24</v>
      </c>
      <c r="V110" s="53" t="s">
        <v>1</v>
      </c>
      <c r="W110" s="46" t="s">
        <v>2</v>
      </c>
      <c r="X110" s="46" t="s">
        <v>22</v>
      </c>
      <c r="Y110" s="46" t="s">
        <v>3</v>
      </c>
      <c r="Z110" s="46" t="s">
        <v>23</v>
      </c>
      <c r="AA110" s="46" t="s">
        <v>24</v>
      </c>
    </row>
    <row r="111" spans="1:27" s="82" customFormat="1" x14ac:dyDescent="0.25">
      <c r="A111" s="53">
        <v>2020</v>
      </c>
      <c r="B111" s="78">
        <v>1119.6908841859549</v>
      </c>
      <c r="C111" s="78">
        <v>352.35947636188939</v>
      </c>
      <c r="D111" s="78">
        <v>1348.4820621891413</v>
      </c>
      <c r="E111" s="78">
        <v>-0.2777250303333858</v>
      </c>
      <c r="F111" s="78">
        <v>159.64168646477628</v>
      </c>
      <c r="H111" s="53">
        <v>2020</v>
      </c>
      <c r="I111" s="78">
        <v>1275.7152549205348</v>
      </c>
      <c r="J111" s="78">
        <v>320.05663400120102</v>
      </c>
      <c r="K111" s="78">
        <v>1149.6347135884571</v>
      </c>
      <c r="L111" s="78">
        <v>-0.75570172623702092</v>
      </c>
      <c r="M111" s="78">
        <v>142.88983100175392</v>
      </c>
      <c r="N111" s="39"/>
      <c r="O111" s="53">
        <v>2020</v>
      </c>
      <c r="P111" s="78">
        <v>-318.94110313523561</v>
      </c>
      <c r="Q111" s="78">
        <v>426.32644715590868</v>
      </c>
      <c r="R111" s="78">
        <v>40.249793474096805</v>
      </c>
      <c r="S111" s="78">
        <v>1.4279379855943262</v>
      </c>
      <c r="T111" s="78">
        <v>25.170960463641677</v>
      </c>
      <c r="V111" s="53">
        <v>2020</v>
      </c>
      <c r="W111" s="78">
        <v>0</v>
      </c>
      <c r="X111" s="78">
        <v>0</v>
      </c>
      <c r="Y111" s="78">
        <v>0</v>
      </c>
      <c r="Z111" s="78">
        <v>0</v>
      </c>
      <c r="AA111" s="78">
        <v>0</v>
      </c>
    </row>
    <row r="112" spans="1:27" s="82" customFormat="1" x14ac:dyDescent="0.25">
      <c r="A112" s="53">
        <v>2021</v>
      </c>
      <c r="B112" s="78">
        <v>-4697.9118567632977</v>
      </c>
      <c r="C112" s="78">
        <v>-2413.4491809026804</v>
      </c>
      <c r="D112" s="78">
        <v>307.18736780242762</v>
      </c>
      <c r="E112" s="78">
        <v>-0.63865446158888517</v>
      </c>
      <c r="F112" s="78">
        <v>-580.59811187116429</v>
      </c>
      <c r="H112" s="53">
        <v>2021</v>
      </c>
      <c r="I112" s="78">
        <v>-4607.5958821401</v>
      </c>
      <c r="J112" s="78">
        <v>-2286.419331653975</v>
      </c>
      <c r="K112" s="78">
        <v>208.08911336550955</v>
      </c>
      <c r="L112" s="78">
        <v>-1.1729453673833632</v>
      </c>
      <c r="M112" s="78">
        <v>-585.12435606238432</v>
      </c>
      <c r="N112" s="65"/>
      <c r="O112" s="53">
        <v>2021</v>
      </c>
      <c r="P112" s="78">
        <v>-4457.8370028800564</v>
      </c>
      <c r="Q112" s="78">
        <v>-1645.5187297061784</v>
      </c>
      <c r="R112" s="78">
        <v>-234.28000356646953</v>
      </c>
      <c r="S112" s="78">
        <v>-1.1960972944507375</v>
      </c>
      <c r="T112" s="78">
        <v>-864.49860857770545</v>
      </c>
      <c r="V112" s="53">
        <v>2021</v>
      </c>
      <c r="W112" s="78">
        <v>-5788.4898972371593</v>
      </c>
      <c r="X112" s="78">
        <v>-2572.5425907250028</v>
      </c>
      <c r="Y112" s="78">
        <v>-1197.8682017527753</v>
      </c>
      <c r="Z112" s="78">
        <v>-62.92078377501457</v>
      </c>
      <c r="AA112" s="78">
        <v>-1131.4629547726945</v>
      </c>
    </row>
    <row r="113" spans="1:27" s="82" customFormat="1" x14ac:dyDescent="0.25">
      <c r="A113" s="53">
        <v>2022</v>
      </c>
      <c r="B113" s="79">
        <v>-7896.7159959292039</v>
      </c>
      <c r="C113" s="79">
        <v>-4445.5422454096843</v>
      </c>
      <c r="D113" s="79">
        <v>-1825.4309742984478</v>
      </c>
      <c r="E113" s="79">
        <v>2.5681636909794179</v>
      </c>
      <c r="F113" s="79">
        <v>-1313.8005967481877</v>
      </c>
      <c r="H113" s="53">
        <v>2022</v>
      </c>
      <c r="I113" s="79">
        <v>-8467.0514773093164</v>
      </c>
      <c r="J113" s="79">
        <v>-3912.7922241205815</v>
      </c>
      <c r="K113" s="79">
        <v>-1899.6191466274322</v>
      </c>
      <c r="L113" s="79">
        <v>1.664332612133876</v>
      </c>
      <c r="M113" s="79">
        <v>-1046.7711190784466</v>
      </c>
      <c r="N113" s="39"/>
      <c r="O113" s="53">
        <v>2022</v>
      </c>
      <c r="P113" s="79">
        <v>-6553.0836657537147</v>
      </c>
      <c r="Q113" s="79">
        <v>-2810.583791236626</v>
      </c>
      <c r="R113" s="79">
        <v>-646.77779406728223</v>
      </c>
      <c r="S113" s="79">
        <v>-7.7215425195172429</v>
      </c>
      <c r="T113" s="79">
        <v>-904.16060620342614</v>
      </c>
      <c r="V113" s="53">
        <v>2022</v>
      </c>
      <c r="W113" s="79">
        <v>-12185.584521569312</v>
      </c>
      <c r="X113" s="79">
        <v>-4362.9831467589829</v>
      </c>
      <c r="Y113" s="79">
        <v>-16095.741557064583</v>
      </c>
      <c r="Z113" s="79">
        <v>483.21097273478517</v>
      </c>
      <c r="AA113" s="79">
        <v>-2709.826624784735</v>
      </c>
    </row>
    <row r="114" spans="1:27" s="82" customFormat="1" x14ac:dyDescent="0.25">
      <c r="A114" s="53">
        <v>2023</v>
      </c>
      <c r="B114" s="78">
        <v>-20964.644644758664</v>
      </c>
      <c r="C114" s="78">
        <v>-18616.352109398926</v>
      </c>
      <c r="D114" s="78">
        <v>-5989.7505685379729</v>
      </c>
      <c r="E114" s="78">
        <v>3.5488046067912364</v>
      </c>
      <c r="F114" s="78">
        <v>-7731.9219488854869</v>
      </c>
      <c r="H114" s="53">
        <v>2023</v>
      </c>
      <c r="I114" s="78">
        <v>-20062.638692880981</v>
      </c>
      <c r="J114" s="78">
        <v>-17454.836598847294</v>
      </c>
      <c r="K114" s="78">
        <v>-5874.9841378791607</v>
      </c>
      <c r="L114" s="78">
        <v>2.7744792092707939</v>
      </c>
      <c r="M114" s="78">
        <v>-7513.7950233272859</v>
      </c>
      <c r="N114" s="39"/>
      <c r="O114" s="53">
        <v>2023</v>
      </c>
      <c r="P114" s="78">
        <v>1684.3983866994968</v>
      </c>
      <c r="Q114" s="78">
        <v>-1938.9489785883343</v>
      </c>
      <c r="R114" s="78">
        <v>-594.84540061006555</v>
      </c>
      <c r="S114" s="78">
        <v>-19.742575557334931</v>
      </c>
      <c r="T114" s="78">
        <v>-8875.1248544338159</v>
      </c>
      <c r="V114" s="53">
        <v>2023</v>
      </c>
      <c r="W114" s="78">
        <v>-32337.464816064807</v>
      </c>
      <c r="X114" s="78">
        <v>-19411.871941864258</v>
      </c>
      <c r="Y114" s="78">
        <v>-36177.229791353922</v>
      </c>
      <c r="Z114" s="78">
        <v>-27965.738559194971</v>
      </c>
      <c r="AA114" s="78">
        <v>-15139.90851642983</v>
      </c>
    </row>
    <row r="115" spans="1:27" s="82" customFormat="1" x14ac:dyDescent="0.25">
      <c r="A115" s="53">
        <v>2024</v>
      </c>
      <c r="B115" s="79">
        <v>2765.4365416539367</v>
      </c>
      <c r="C115" s="79">
        <v>-36.192166287684813</v>
      </c>
      <c r="D115" s="79">
        <v>-63.906977849022951</v>
      </c>
      <c r="E115" s="79">
        <v>7.8137492106834543</v>
      </c>
      <c r="F115" s="79">
        <v>-3254.2244113396737</v>
      </c>
      <c r="H115" s="53">
        <v>2024</v>
      </c>
      <c r="I115" s="79">
        <v>3061.339931090828</v>
      </c>
      <c r="J115" s="79">
        <v>1499.1748166121542</v>
      </c>
      <c r="K115" s="79">
        <v>50.197642636718228</v>
      </c>
      <c r="L115" s="79">
        <v>8.3697011197145912</v>
      </c>
      <c r="M115" s="79">
        <v>-3354.6419558509369</v>
      </c>
      <c r="N115" s="39"/>
      <c r="O115" s="53">
        <v>2024</v>
      </c>
      <c r="P115" s="79">
        <v>13694.988511042669</v>
      </c>
      <c r="Q115" s="79">
        <v>2498.0234247362241</v>
      </c>
      <c r="R115" s="79">
        <v>191.61040986515582</v>
      </c>
      <c r="S115" s="79">
        <v>-28.824300689688243</v>
      </c>
      <c r="T115" s="79">
        <v>-2251.4491401970154</v>
      </c>
      <c r="V115" s="53">
        <v>2024</v>
      </c>
      <c r="W115" s="79">
        <v>-8227.016934000887</v>
      </c>
      <c r="X115" s="79">
        <v>-6492.2665306343697</v>
      </c>
      <c r="Y115" s="79">
        <v>-8852.4764111700351</v>
      </c>
      <c r="Z115" s="79">
        <v>266.39301456422982</v>
      </c>
      <c r="AA115" s="79">
        <v>-4118.112689198344</v>
      </c>
    </row>
    <row r="116" spans="1:27" s="82" customFormat="1" x14ac:dyDescent="0.25">
      <c r="A116" s="53">
        <v>2025</v>
      </c>
      <c r="B116" s="78">
        <v>-11451.401142819552</v>
      </c>
      <c r="C116" s="78">
        <v>-8311.2832786594518</v>
      </c>
      <c r="D116" s="78">
        <v>-2586.6474576870169</v>
      </c>
      <c r="E116" s="78">
        <v>-5.1208449142068275</v>
      </c>
      <c r="F116" s="78">
        <v>-4255.4579075208167</v>
      </c>
      <c r="H116" s="53">
        <v>2025</v>
      </c>
      <c r="I116" s="78">
        <v>3668.2778429971077</v>
      </c>
      <c r="J116" s="78">
        <v>1539.4881711751223</v>
      </c>
      <c r="K116" s="78">
        <v>-13.470084726948699</v>
      </c>
      <c r="L116" s="78">
        <v>-8.353309852827806E-2</v>
      </c>
      <c r="M116" s="78">
        <v>-2595.8024680690723</v>
      </c>
      <c r="N116" s="39"/>
      <c r="O116" s="53">
        <v>2025</v>
      </c>
      <c r="P116" s="78">
        <v>5336.5523361589294</v>
      </c>
      <c r="Q116" s="78">
        <v>1382.9834649784025</v>
      </c>
      <c r="R116" s="78">
        <v>159.92877446006787</v>
      </c>
      <c r="S116" s="78">
        <v>-41.544617867570196</v>
      </c>
      <c r="T116" s="78">
        <v>-2780.1829549538088</v>
      </c>
      <c r="V116" s="53">
        <v>2025</v>
      </c>
      <c r="W116" s="78">
        <v>-10749.885916376952</v>
      </c>
      <c r="X116" s="78">
        <v>-3746.1940864059143</v>
      </c>
      <c r="Y116" s="78">
        <v>-3728.6429050901788</v>
      </c>
      <c r="Z116" s="78">
        <v>-4469.0950245147833</v>
      </c>
      <c r="AA116" s="78">
        <v>-6626.6325180126005</v>
      </c>
    </row>
  </sheetData>
  <scenarios current="0">
    <scenario name="Neutral" locked="1" count="1" user="Kiet Lee" comment="Created by Kiet Lee on 10/10/2017">
      <inputCells r="B2" val="5" numFmtId="9"/>
    </scenario>
  </scenarios>
  <mergeCells count="12">
    <mergeCell ref="A75:A88"/>
    <mergeCell ref="H75:H88"/>
    <mergeCell ref="V75:V88"/>
    <mergeCell ref="O75:O88"/>
    <mergeCell ref="A31:A44"/>
    <mergeCell ref="H31:H44"/>
    <mergeCell ref="O31:O44"/>
    <mergeCell ref="V31:V44"/>
    <mergeCell ref="A49:A70"/>
    <mergeCell ref="H49:H70"/>
    <mergeCell ref="O49:O70"/>
    <mergeCell ref="V49:V70"/>
  </mergeCells>
  <conditionalFormatting sqref="D16:K22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A107"/>
  <sheetViews>
    <sheetView zoomScale="70" zoomScaleNormal="70" workbookViewId="0"/>
  </sheetViews>
  <sheetFormatPr defaultColWidth="14.7109375" defaultRowHeight="15" x14ac:dyDescent="0.25"/>
  <cols>
    <col min="1" max="2" width="14.7109375" style="42"/>
    <col min="3" max="3" width="14.85546875" style="42" customWidth="1"/>
    <col min="4" max="4" width="14.7109375" style="42"/>
    <col min="5" max="5" width="15.7109375" style="42" customWidth="1"/>
    <col min="6" max="16384" width="14.7109375" style="42"/>
  </cols>
  <sheetData>
    <row r="1" spans="1:22" s="44" customFormat="1" x14ac:dyDescent="0.25">
      <c r="A1" s="9" t="s">
        <v>12</v>
      </c>
      <c r="B1" s="65"/>
      <c r="C1" s="9" t="s">
        <v>14</v>
      </c>
    </row>
    <row r="2" spans="1:22" s="52" customFormat="1" x14ac:dyDescent="0.25">
      <c r="A2" s="13" t="s">
        <v>8</v>
      </c>
      <c r="B2" s="85">
        <v>0.06</v>
      </c>
      <c r="C2" s="20">
        <f>Discount_rate</f>
        <v>0.06</v>
      </c>
    </row>
    <row r="3" spans="1:22" s="52" customFormat="1" x14ac:dyDescent="0.25">
      <c r="A3" s="31" t="s">
        <v>13</v>
      </c>
      <c r="B3" s="24">
        <v>116700</v>
      </c>
      <c r="C3" s="32">
        <f>Option_B10_1_Cost</f>
        <v>116700</v>
      </c>
    </row>
    <row r="4" spans="1:22" s="61" customFormat="1" x14ac:dyDescent="0.25">
      <c r="A4" s="31" t="s">
        <v>34</v>
      </c>
      <c r="B4" s="15">
        <v>10</v>
      </c>
      <c r="C4" s="19">
        <f>Non_Network_payment_duration_years</f>
        <v>10</v>
      </c>
    </row>
    <row r="5" spans="1:22" s="52" customFormat="1" x14ac:dyDescent="0.25">
      <c r="A5" s="11"/>
      <c r="B5" s="25"/>
      <c r="D5" s="44"/>
      <c r="E5" s="44"/>
    </row>
    <row r="6" spans="1:22" s="52" customFormat="1" x14ac:dyDescent="0.25">
      <c r="A6" s="30" t="s">
        <v>15</v>
      </c>
      <c r="B6" s="31" t="s">
        <v>9</v>
      </c>
      <c r="C6" s="10" t="s">
        <v>89</v>
      </c>
      <c r="D6" s="10" t="s">
        <v>20</v>
      </c>
      <c r="E6" s="10" t="s">
        <v>21</v>
      </c>
    </row>
    <row r="7" spans="1:22" s="52" customFormat="1" x14ac:dyDescent="0.25">
      <c r="A7" s="30" t="s">
        <v>7</v>
      </c>
      <c r="B7" s="24">
        <f>E25</f>
        <v>-74209.176435429079</v>
      </c>
      <c r="C7" s="24">
        <f>L25</f>
        <v>-72219.251715053877</v>
      </c>
      <c r="D7" s="24">
        <f>S25</f>
        <v>-97781.732063404095</v>
      </c>
      <c r="E7" s="24">
        <f>Z25</f>
        <v>-59390.884022247112</v>
      </c>
      <c r="G7" s="29"/>
      <c r="H7" s="29"/>
      <c r="I7" s="29"/>
      <c r="J7" s="29"/>
      <c r="K7" s="29"/>
      <c r="L7" s="29"/>
      <c r="M7" s="29"/>
      <c r="N7" s="29"/>
      <c r="O7" s="29"/>
      <c r="P7" s="29"/>
      <c r="T7" s="29"/>
      <c r="U7" s="29"/>
      <c r="V7" s="29"/>
    </row>
    <row r="8" spans="1:22" s="61" customFormat="1" x14ac:dyDescent="0.25">
      <c r="A8" s="11"/>
      <c r="B8" s="25"/>
      <c r="D8" s="65"/>
      <c r="E8" s="65"/>
    </row>
    <row r="9" spans="1:22" s="44" customFormat="1" x14ac:dyDescent="0.25">
      <c r="A9" s="30" t="str">
        <f>Assumptions!A20</f>
        <v>Scenario weightings</v>
      </c>
      <c r="B9" s="5" t="str">
        <f>Assumptions!B20</f>
        <v>Neutral</v>
      </c>
      <c r="C9" s="5" t="str">
        <f>Assumptions!C20</f>
        <v>NeutralWS</v>
      </c>
      <c r="D9" s="5" t="str">
        <f>Assumptions!D20</f>
        <v>Slow Change</v>
      </c>
      <c r="E9" s="5" t="str">
        <f>Assumptions!E20</f>
        <v>Fast Change</v>
      </c>
      <c r="F9" s="5" t="str">
        <f>Assumptions!F20</f>
        <v>Total</v>
      </c>
      <c r="H9" s="58"/>
    </row>
    <row r="10" spans="1:22" s="44" customFormat="1" x14ac:dyDescent="0.25">
      <c r="A10" s="31" t="str">
        <f>Assumptions!A21</f>
        <v>Set A - all equal</v>
      </c>
      <c r="B10" s="7">
        <f>Assumptions!B21</f>
        <v>0.25</v>
      </c>
      <c r="C10" s="7">
        <f>Assumptions!C21</f>
        <v>0.25</v>
      </c>
      <c r="D10" s="7">
        <f>Assumptions!D21</f>
        <v>0.25</v>
      </c>
      <c r="E10" s="7">
        <f>Assumptions!E21</f>
        <v>0.25</v>
      </c>
      <c r="F10" s="7">
        <f>Assumptions!F21</f>
        <v>1</v>
      </c>
    </row>
    <row r="11" spans="1:22" s="44" customFormat="1" x14ac:dyDescent="0.25">
      <c r="A11" s="31" t="str">
        <f>Assumptions!A22</f>
        <v>Set B - more Neutral</v>
      </c>
      <c r="B11" s="7">
        <f>Assumptions!B22</f>
        <v>0.4</v>
      </c>
      <c r="C11" s="7">
        <f>Assumptions!C22</f>
        <v>0.4</v>
      </c>
      <c r="D11" s="7">
        <f>Assumptions!D22</f>
        <v>0.1</v>
      </c>
      <c r="E11" s="7">
        <f>Assumptions!E22</f>
        <v>0.1</v>
      </c>
      <c r="F11" s="7">
        <f>Assumptions!F22</f>
        <v>1</v>
      </c>
    </row>
    <row r="12" spans="1:22" s="44" customFormat="1" x14ac:dyDescent="0.25">
      <c r="A12" s="31" t="str">
        <f>Assumptions!A23</f>
        <v>Set C - Slow Change</v>
      </c>
      <c r="B12" s="7">
        <f>Assumptions!B23</f>
        <v>0.2</v>
      </c>
      <c r="C12" s="7">
        <f>Assumptions!C23</f>
        <v>0.2</v>
      </c>
      <c r="D12" s="7">
        <f>Assumptions!D23</f>
        <v>0.4</v>
      </c>
      <c r="E12" s="7">
        <f>Assumptions!E23</f>
        <v>0.2</v>
      </c>
      <c r="F12" s="7">
        <f>Assumptions!F23</f>
        <v>1</v>
      </c>
    </row>
    <row r="13" spans="1:22" s="44" customFormat="1" x14ac:dyDescent="0.25">
      <c r="A13" s="31" t="str">
        <f>Assumptions!A24</f>
        <v>Set D - Fast Change</v>
      </c>
      <c r="B13" s="7">
        <f>Assumptions!B24</f>
        <v>0.2</v>
      </c>
      <c r="C13" s="7">
        <f>Assumptions!C24</f>
        <v>0.2</v>
      </c>
      <c r="D13" s="7">
        <f>Assumptions!D24</f>
        <v>0.2</v>
      </c>
      <c r="E13" s="7">
        <f>Assumptions!E24</f>
        <v>0.4</v>
      </c>
      <c r="F13" s="7">
        <f>Assumptions!F24</f>
        <v>1</v>
      </c>
    </row>
    <row r="14" spans="1:22" s="52" customFormat="1" x14ac:dyDescent="0.25">
      <c r="A14" s="11"/>
      <c r="B14" s="72"/>
      <c r="D14" s="44"/>
      <c r="E14" s="44"/>
      <c r="G14" s="29"/>
      <c r="H14" s="29"/>
      <c r="I14" s="29"/>
      <c r="J14" s="29"/>
      <c r="K14" s="29"/>
      <c r="L14" s="29"/>
      <c r="M14" s="29"/>
      <c r="N14" s="29"/>
      <c r="O14" s="29"/>
      <c r="P14" s="29"/>
      <c r="T14" s="29"/>
      <c r="U14" s="29"/>
      <c r="V14" s="29"/>
    </row>
    <row r="15" spans="1:22" s="44" customFormat="1" x14ac:dyDescent="0.25">
      <c r="A15" s="33"/>
      <c r="B15" s="5" t="s">
        <v>35</v>
      </c>
      <c r="C15" s="33" t="str">
        <f ca="1">MID(CELL("filename",C1),FIND("]",CELL("filename",C1))+1,255)</f>
        <v>Benefits - Option E1</v>
      </c>
      <c r="D15" s="2" t="s">
        <v>9</v>
      </c>
      <c r="E15" s="2" t="s">
        <v>89</v>
      </c>
      <c r="F15" s="2" t="s">
        <v>20</v>
      </c>
      <c r="G15" s="2" t="s">
        <v>21</v>
      </c>
      <c r="H15" s="2" t="s">
        <v>17</v>
      </c>
      <c r="I15" s="92" t="s">
        <v>18</v>
      </c>
      <c r="J15" s="92" t="s">
        <v>19</v>
      </c>
      <c r="K15" s="92" t="s">
        <v>43</v>
      </c>
      <c r="L15" s="29"/>
      <c r="M15" s="29"/>
      <c r="N15" s="29"/>
      <c r="O15" s="29"/>
      <c r="P15" s="29"/>
      <c r="T15" s="29"/>
      <c r="U15" s="29"/>
      <c r="V15" s="29"/>
    </row>
    <row r="16" spans="1:22" s="52" customFormat="1" x14ac:dyDescent="0.25">
      <c r="A16" s="22" t="s">
        <v>8</v>
      </c>
      <c r="B16" s="23">
        <f>Assumptions!B9+Discount_rate</f>
        <v>0.06</v>
      </c>
      <c r="C16" s="57" t="s">
        <v>36</v>
      </c>
      <c r="D16" s="2">
        <v>-74209.179999999993</v>
      </c>
      <c r="E16" s="2">
        <v>-72219.25</v>
      </c>
      <c r="F16" s="2">
        <v>-97781.73</v>
      </c>
      <c r="G16" s="2">
        <v>-59390.879999999997</v>
      </c>
      <c r="H16" s="2">
        <f t="shared" ref="H16:H22" si="0">$B$10*$D16+$C$10*$E16+$D$10*$F16+$E$10*$G16</f>
        <v>-75900.259999999995</v>
      </c>
      <c r="I16" s="2">
        <f t="shared" ref="I16:I22" si="1">$B$11*$D16+$C$11*$E16+$D$11*$F16+$E$11*$G16</f>
        <v>-74288.633000000002</v>
      </c>
      <c r="J16" s="2">
        <f t="shared" ref="J16:J22" si="2">$B$12*$D16+$C$12*$E16+$D$12*$F16+$E$12*$G16</f>
        <v>-80276.554000000004</v>
      </c>
      <c r="K16" s="2">
        <f t="shared" ref="K16:K22" si="3">$B$13*$D16+$C$13*$E16+$D$13*$F16+$E$13*$G16</f>
        <v>-72598.384000000005</v>
      </c>
      <c r="L16" s="29"/>
      <c r="M16" s="29"/>
      <c r="N16" s="29"/>
      <c r="O16" s="29"/>
      <c r="P16" s="29"/>
      <c r="T16" s="29"/>
      <c r="U16" s="29"/>
      <c r="V16" s="29"/>
    </row>
    <row r="17" spans="1:26" s="52" customFormat="1" x14ac:dyDescent="0.25">
      <c r="A17" s="22"/>
      <c r="B17" s="23">
        <f>Assumptions!B10+Discount_rate</f>
        <v>8.4999999999999992E-2</v>
      </c>
      <c r="C17" s="22" t="str">
        <f>"Discount rate " &amp;Assumptions!B10</f>
        <v>Discount rate 0.025</v>
      </c>
      <c r="D17" s="2">
        <v>-81529</v>
      </c>
      <c r="E17" s="2">
        <v>-79818.179999999993</v>
      </c>
      <c r="F17" s="2">
        <v>-100313.33</v>
      </c>
      <c r="G17" s="2">
        <v>-68670.460000000006</v>
      </c>
      <c r="H17" s="2">
        <f t="shared" si="0"/>
        <v>-82582.742500000008</v>
      </c>
      <c r="I17" s="2">
        <f t="shared" si="1"/>
        <v>-81437.251000000004</v>
      </c>
      <c r="J17" s="2">
        <f t="shared" si="2"/>
        <v>-86128.860000000015</v>
      </c>
      <c r="K17" s="2">
        <f t="shared" si="3"/>
        <v>-79800.286000000007</v>
      </c>
      <c r="L17" s="29"/>
      <c r="M17" s="29"/>
      <c r="N17" s="29"/>
      <c r="O17" s="29"/>
      <c r="P17" s="29"/>
      <c r="T17" s="29"/>
      <c r="U17" s="29"/>
      <c r="V17" s="29"/>
    </row>
    <row r="18" spans="1:26" s="52" customFormat="1" x14ac:dyDescent="0.25">
      <c r="A18" s="22"/>
      <c r="B18" s="23">
        <f>Assumptions!B11+Discount_rate</f>
        <v>3.4999999999999996E-2</v>
      </c>
      <c r="C18" s="22" t="str">
        <f>"Discount rate " &amp;Assumptions!B11</f>
        <v>Discount rate -0.025</v>
      </c>
      <c r="D18" s="2">
        <v>-64432.21</v>
      </c>
      <c r="E18" s="2">
        <v>-62080.26</v>
      </c>
      <c r="F18" s="2">
        <v>-94547.8</v>
      </c>
      <c r="G18" s="2">
        <v>-47239.43</v>
      </c>
      <c r="H18" s="2">
        <f t="shared" si="0"/>
        <v>-67074.925000000003</v>
      </c>
      <c r="I18" s="2">
        <f t="shared" si="1"/>
        <v>-64783.711000000003</v>
      </c>
      <c r="J18" s="2">
        <f t="shared" si="2"/>
        <v>-72569.5</v>
      </c>
      <c r="K18" s="2">
        <f t="shared" si="3"/>
        <v>-63107.826000000001</v>
      </c>
      <c r="L18" s="29"/>
      <c r="M18" s="29"/>
      <c r="N18" s="29"/>
      <c r="O18" s="29"/>
      <c r="P18" s="29"/>
      <c r="T18" s="29"/>
      <c r="U18" s="29"/>
      <c r="V18" s="29"/>
    </row>
    <row r="19" spans="1:26" s="52" customFormat="1" x14ac:dyDescent="0.25">
      <c r="A19" s="21" t="s">
        <v>13</v>
      </c>
      <c r="B19" s="24">
        <f>Assumptions!B13*(Option_B10_1_Cost+$E$47)</f>
        <v>151710</v>
      </c>
      <c r="C19" s="21" t="str">
        <f>"Cost x "&amp;Assumptions!B13</f>
        <v>Cost x 1.3</v>
      </c>
      <c r="D19" s="2">
        <v>-109219.18</v>
      </c>
      <c r="E19" s="2">
        <v>-107229.25</v>
      </c>
      <c r="F19" s="2">
        <v>-132791.73000000001</v>
      </c>
      <c r="G19" s="2">
        <v>-94400.88</v>
      </c>
      <c r="H19" s="2">
        <f t="shared" si="0"/>
        <v>-110910.26000000001</v>
      </c>
      <c r="I19" s="2">
        <f t="shared" si="1"/>
        <v>-109298.63300000002</v>
      </c>
      <c r="J19" s="2">
        <f t="shared" si="2"/>
        <v>-115286.55400000002</v>
      </c>
      <c r="K19" s="2">
        <f t="shared" si="3"/>
        <v>-107608.38400000002</v>
      </c>
      <c r="L19" s="29"/>
      <c r="M19" s="29"/>
      <c r="N19" s="29"/>
      <c r="O19" s="29"/>
      <c r="P19" s="29"/>
      <c r="T19" s="29"/>
      <c r="U19" s="29"/>
      <c r="V19" s="29"/>
    </row>
    <row r="20" spans="1:26" s="52" customFormat="1" x14ac:dyDescent="0.25">
      <c r="A20" s="21"/>
      <c r="B20" s="24">
        <f>Assumptions!B14*(Option_B10_1_Cost+$E$47)</f>
        <v>81690</v>
      </c>
      <c r="C20" s="21" t="str">
        <f>"Cost x "&amp;Assumptions!B14</f>
        <v>Cost x 0.7</v>
      </c>
      <c r="D20" s="2">
        <v>-39199.18</v>
      </c>
      <c r="E20" s="2">
        <v>-37209.25</v>
      </c>
      <c r="F20" s="2">
        <v>-62771.73</v>
      </c>
      <c r="G20" s="2">
        <v>-24380.880000000001</v>
      </c>
      <c r="H20" s="2">
        <f t="shared" si="0"/>
        <v>-40890.26</v>
      </c>
      <c r="I20" s="2">
        <f t="shared" si="1"/>
        <v>-39278.633000000009</v>
      </c>
      <c r="J20" s="2">
        <f t="shared" si="2"/>
        <v>-45266.554000000004</v>
      </c>
      <c r="K20" s="2">
        <f t="shared" si="3"/>
        <v>-37588.384000000005</v>
      </c>
      <c r="L20" s="29"/>
      <c r="M20" s="29"/>
      <c r="N20" s="29"/>
      <c r="O20" s="29"/>
      <c r="P20" s="29"/>
      <c r="T20" s="29"/>
      <c r="U20" s="29"/>
      <c r="V20" s="29"/>
    </row>
    <row r="21" spans="1:26" s="61" customFormat="1" x14ac:dyDescent="0.25">
      <c r="A21" s="55" t="s">
        <v>33</v>
      </c>
      <c r="B21" s="56">
        <f>Non_Network_payment_duration_years+Assumptions!B16</f>
        <v>5</v>
      </c>
      <c r="C21" s="55" t="str">
        <f>"Payback "&amp;Assumptions!B16&amp;" years"</f>
        <v>Payback -5 years</v>
      </c>
      <c r="D21" s="2">
        <v>-74209.179999999993</v>
      </c>
      <c r="E21" s="2">
        <v>-72219.25</v>
      </c>
      <c r="F21" s="2">
        <v>-97781.73</v>
      </c>
      <c r="G21" s="2">
        <v>-59390.879999999997</v>
      </c>
      <c r="H21" s="2">
        <f t="shared" si="0"/>
        <v>-75900.259999999995</v>
      </c>
      <c r="I21" s="2">
        <f t="shared" si="1"/>
        <v>-74288.633000000002</v>
      </c>
      <c r="J21" s="2">
        <f t="shared" si="2"/>
        <v>-80276.554000000004</v>
      </c>
      <c r="K21" s="2">
        <f t="shared" si="3"/>
        <v>-72598.384000000005</v>
      </c>
      <c r="L21" s="29"/>
      <c r="M21" s="29"/>
      <c r="N21" s="29"/>
      <c r="O21" s="29"/>
      <c r="P21" s="29"/>
      <c r="T21" s="29"/>
      <c r="U21" s="29"/>
      <c r="V21" s="29"/>
    </row>
    <row r="22" spans="1:26" s="61" customFormat="1" x14ac:dyDescent="0.25">
      <c r="A22" s="55"/>
      <c r="B22" s="56">
        <f>Non_Network_payment_duration_years+Assumptions!B17</f>
        <v>15</v>
      </c>
      <c r="C22" s="55" t="str">
        <f>"Payback +"&amp;Assumptions!B17&amp;" years"</f>
        <v>Payback +5 years</v>
      </c>
      <c r="D22" s="2">
        <v>-73624.55</v>
      </c>
      <c r="E22" s="2">
        <v>-71634.63</v>
      </c>
      <c r="F22" s="2">
        <v>-97197.11</v>
      </c>
      <c r="G22" s="2">
        <v>-58806.26</v>
      </c>
      <c r="H22" s="2">
        <f t="shared" si="0"/>
        <v>-75315.637499999997</v>
      </c>
      <c r="I22" s="2">
        <f t="shared" si="1"/>
        <v>-73704.009000000005</v>
      </c>
      <c r="J22" s="2">
        <f t="shared" si="2"/>
        <v>-79691.932000000001</v>
      </c>
      <c r="K22" s="2">
        <f t="shared" si="3"/>
        <v>-72013.762000000002</v>
      </c>
      <c r="L22" s="29"/>
      <c r="M22" s="29"/>
      <c r="N22" s="29"/>
      <c r="O22" s="29"/>
      <c r="P22" s="29"/>
      <c r="T22" s="29"/>
      <c r="U22" s="29"/>
      <c r="V22" s="29"/>
    </row>
    <row r="23" spans="1:26" s="65" customFormat="1" x14ac:dyDescent="0.25">
      <c r="A23" s="91"/>
      <c r="B23" s="12"/>
      <c r="C23" s="4"/>
      <c r="E23" s="4"/>
    </row>
    <row r="24" spans="1:26" s="52" customFormat="1" x14ac:dyDescent="0.25">
      <c r="A24" s="4"/>
      <c r="C24" s="13" t="s">
        <v>4</v>
      </c>
      <c r="D24" s="13" t="s">
        <v>5</v>
      </c>
      <c r="E24" s="13" t="s">
        <v>6</v>
      </c>
      <c r="H24" s="4"/>
      <c r="J24" s="13" t="s">
        <v>4</v>
      </c>
      <c r="K24" s="13" t="s">
        <v>5</v>
      </c>
      <c r="L24" s="13" t="s">
        <v>6</v>
      </c>
      <c r="O24" s="4"/>
      <c r="Q24" s="13" t="s">
        <v>4</v>
      </c>
      <c r="R24" s="13" t="s">
        <v>5</v>
      </c>
      <c r="S24" s="13" t="s">
        <v>6</v>
      </c>
      <c r="V24" s="4"/>
      <c r="X24" s="13" t="s">
        <v>4</v>
      </c>
      <c r="Y24" s="13" t="s">
        <v>5</v>
      </c>
      <c r="Z24" s="13" t="s">
        <v>6</v>
      </c>
    </row>
    <row r="25" spans="1:26" x14ac:dyDescent="0.25">
      <c r="A25" s="25"/>
      <c r="B25" s="53" t="s">
        <v>7</v>
      </c>
      <c r="C25" s="2">
        <f>NPV($B$2,C31:C44)</f>
        <v>42490.823564570899</v>
      </c>
      <c r="D25" s="2">
        <f>NPV($B$2,'Benefits - Option E1'!D31:D44)</f>
        <v>116699.99999999999</v>
      </c>
      <c r="E25" s="2">
        <f>C25-D25</f>
        <v>-74209.176435429079</v>
      </c>
      <c r="F25" s="51"/>
      <c r="H25" s="4"/>
      <c r="I25" s="53" t="s">
        <v>7</v>
      </c>
      <c r="J25" s="2">
        <f>NPV($B$2,J31:J44)</f>
        <v>44480.748284946108</v>
      </c>
      <c r="K25" s="2">
        <f>NPV($B$2,'Benefits - Option E1'!K31:K44)</f>
        <v>116699.99999999999</v>
      </c>
      <c r="L25" s="2">
        <f>J25-K25</f>
        <v>-72219.251715053877</v>
      </c>
      <c r="O25" s="4"/>
      <c r="P25" s="53" t="s">
        <v>7</v>
      </c>
      <c r="Q25" s="2">
        <f>NPV($B$2,Q31:Q44)</f>
        <v>18918.267936595894</v>
      </c>
      <c r="R25" s="2">
        <f>NPV($B$2,'Benefits - Option E1'!R31:R44)</f>
        <v>116699.99999999999</v>
      </c>
      <c r="S25" s="2">
        <f>Q25-R25</f>
        <v>-97781.732063404095</v>
      </c>
      <c r="V25" s="4"/>
      <c r="W25" s="53" t="s">
        <v>7</v>
      </c>
      <c r="X25" s="2">
        <f>NPV($B$2,X31:X44)</f>
        <v>57309.115977752874</v>
      </c>
      <c r="Y25" s="2">
        <f>NPV($B$2,'Benefits - Option E1'!Y31:Y44)</f>
        <v>116699.99999999999</v>
      </c>
      <c r="Z25" s="2">
        <f>X25-Y25</f>
        <v>-59390.884022247112</v>
      </c>
    </row>
    <row r="26" spans="1:26" s="37" customFormat="1" ht="15.75" thickBot="1" x14ac:dyDescent="0.3">
      <c r="A26" s="36"/>
      <c r="C26" s="36"/>
      <c r="D26" s="36"/>
      <c r="E26" s="36"/>
      <c r="H26" s="36"/>
      <c r="J26" s="36"/>
      <c r="K26" s="36"/>
      <c r="L26" s="36"/>
      <c r="O26" s="36"/>
      <c r="Q26" s="36"/>
      <c r="R26" s="36"/>
      <c r="S26" s="36"/>
      <c r="V26" s="36"/>
      <c r="X26" s="36"/>
      <c r="Y26" s="36"/>
      <c r="Z26" s="36"/>
    </row>
    <row r="27" spans="1:26" s="44" customFormat="1" x14ac:dyDescent="0.25">
      <c r="A27" s="4"/>
      <c r="C27" s="4"/>
      <c r="D27" s="4"/>
      <c r="E27" s="4"/>
      <c r="H27" s="4"/>
      <c r="J27" s="4"/>
      <c r="K27" s="4"/>
      <c r="L27" s="4"/>
      <c r="O27" s="4"/>
      <c r="Q27" s="4"/>
      <c r="R27" s="4"/>
      <c r="S27" s="4"/>
      <c r="V27" s="4"/>
      <c r="X27" s="4"/>
      <c r="Y27" s="4"/>
      <c r="Z27" s="4"/>
    </row>
    <row r="28" spans="1:26" s="65" customFormat="1" x14ac:dyDescent="0.25">
      <c r="A28" s="74" t="s">
        <v>85</v>
      </c>
      <c r="C28" s="4"/>
      <c r="D28" s="4"/>
      <c r="E28" s="4"/>
      <c r="H28" s="4"/>
      <c r="J28" s="4"/>
      <c r="K28" s="4"/>
      <c r="L28" s="4"/>
      <c r="O28" s="4"/>
      <c r="Q28" s="4"/>
      <c r="R28" s="4"/>
      <c r="S28" s="4"/>
      <c r="V28" s="4"/>
      <c r="X28" s="4"/>
      <c r="Y28" s="4"/>
      <c r="Z28" s="4"/>
    </row>
    <row r="29" spans="1:26" s="61" customFormat="1" x14ac:dyDescent="0.25">
      <c r="A29" s="46" t="s">
        <v>9</v>
      </c>
      <c r="B29" s="27"/>
      <c r="C29" s="27"/>
      <c r="D29" s="27"/>
      <c r="E29" s="28"/>
      <c r="H29" s="46" t="s">
        <v>89</v>
      </c>
      <c r="I29" s="27"/>
      <c r="J29" s="27"/>
      <c r="K29" s="27"/>
      <c r="L29" s="28"/>
      <c r="O29" s="26" t="s">
        <v>20</v>
      </c>
      <c r="P29" s="27"/>
      <c r="Q29" s="27"/>
      <c r="R29" s="27"/>
      <c r="S29" s="28"/>
      <c r="V29" s="46" t="s">
        <v>21</v>
      </c>
      <c r="W29" s="27"/>
      <c r="X29" s="27"/>
      <c r="Y29" s="27"/>
      <c r="Z29" s="28"/>
    </row>
    <row r="30" spans="1:26" s="61" customFormat="1" x14ac:dyDescent="0.25">
      <c r="A30" s="13" t="s">
        <v>0</v>
      </c>
      <c r="B30" s="13" t="s">
        <v>1</v>
      </c>
      <c r="C30" s="13" t="s">
        <v>4</v>
      </c>
      <c r="D30" s="13" t="s">
        <v>5</v>
      </c>
      <c r="E30" s="53" t="s">
        <v>6</v>
      </c>
      <c r="F30" s="63"/>
      <c r="H30" s="13" t="s">
        <v>0</v>
      </c>
      <c r="I30" s="13" t="s">
        <v>1</v>
      </c>
      <c r="J30" s="13" t="s">
        <v>4</v>
      </c>
      <c r="K30" s="13" t="s">
        <v>5</v>
      </c>
      <c r="L30" s="53" t="s">
        <v>6</v>
      </c>
      <c r="M30" s="63"/>
      <c r="N30" s="63"/>
      <c r="O30" s="13" t="s">
        <v>0</v>
      </c>
      <c r="P30" s="13" t="s">
        <v>1</v>
      </c>
      <c r="Q30" s="13" t="s">
        <v>4</v>
      </c>
      <c r="R30" s="13" t="s">
        <v>5</v>
      </c>
      <c r="S30" s="53" t="s">
        <v>6</v>
      </c>
      <c r="V30" s="13" t="s">
        <v>0</v>
      </c>
      <c r="W30" s="13" t="s">
        <v>1</v>
      </c>
      <c r="X30" s="13" t="s">
        <v>4</v>
      </c>
      <c r="Y30" s="13" t="s">
        <v>5</v>
      </c>
      <c r="Z30" s="53" t="s">
        <v>6</v>
      </c>
    </row>
    <row r="31" spans="1:26" s="61" customFormat="1" x14ac:dyDescent="0.25">
      <c r="A31" s="95" t="s">
        <v>10</v>
      </c>
      <c r="B31" s="53">
        <v>2020</v>
      </c>
      <c r="C31" s="2">
        <f t="shared" ref="C31:C43" si="4">IF(B31&gt;=Option_B10_1_Year,SUM(B91:F91),0)</f>
        <v>3141.4582382989029</v>
      </c>
      <c r="D31" s="2">
        <f t="shared" ref="D31:D43" si="5">IF(AND(B31&gt;=Option_B10_1_Year,B31&lt;=(Option_B10_1_Year+($B$4-1))),-PMT($B$2,$B$4,$B$3,,0),0)</f>
        <v>15855.790724318793</v>
      </c>
      <c r="E31" s="2">
        <f t="shared" ref="E31:E43" si="6">IF(B31&gt;=Option_B10_1_Year,C31-D31,0)</f>
        <v>-12714.33248601989</v>
      </c>
      <c r="F31" s="66"/>
      <c r="H31" s="95" t="s">
        <v>10</v>
      </c>
      <c r="I31" s="53">
        <v>2020</v>
      </c>
      <c r="J31" s="2">
        <f t="shared" ref="J31:J43" si="7">IF(I31&gt;=Option_B10_1_Year,SUM(I91:M91),0)</f>
        <v>3176.4119636382457</v>
      </c>
      <c r="K31" s="2">
        <f t="shared" ref="K31:K43" si="8">IF(AND(I31&gt;=Option_B10_1_Year,I31&lt;=(Option_B10_1_Year+($B$4-1))),-PMT($B$2,$B$4,$B$3,,0),0)</f>
        <v>15855.790724318793</v>
      </c>
      <c r="L31" s="2">
        <f t="shared" ref="L31:L43" si="9">IF(I31&gt;=Option_B10_1_Year,J31-K31,0)</f>
        <v>-12679.378760680547</v>
      </c>
      <c r="M31" s="63"/>
      <c r="N31" s="63"/>
      <c r="O31" s="95" t="s">
        <v>10</v>
      </c>
      <c r="P31" s="53">
        <v>2020</v>
      </c>
      <c r="Q31" s="2">
        <f t="shared" ref="Q31:Q43" si="10">IF(P31&gt;=Option_B10_1_Year,SUM(P91:T91),0)</f>
        <v>2497.8916306681785</v>
      </c>
      <c r="R31" s="2">
        <f t="shared" ref="R31:R43" si="11">IF(AND(P31&gt;=Option_B10_1_Year,P31&lt;=(Option_B10_1_Year+($B$4-1))),-PMT($B$2,$B$4,$B$3,,0),0)</f>
        <v>15855.790724318793</v>
      </c>
      <c r="S31" s="2">
        <f t="shared" ref="S31:S43" si="12">IF(P31&gt;=Option_B10_1_Year,Q31-R31,0)</f>
        <v>-13357.899093650614</v>
      </c>
      <c r="V31" s="95" t="s">
        <v>10</v>
      </c>
      <c r="W31" s="53">
        <v>2020</v>
      </c>
      <c r="X31" s="2">
        <f t="shared" ref="X31:X43" si="13">IF(W31&gt;=Option_B10_1_Year,SUM(W91:AA91),0)</f>
        <v>4111.285998784384</v>
      </c>
      <c r="Y31" s="2">
        <f t="shared" ref="Y31:Y43" si="14">IF(AND(W31&gt;=Option_B10_1_Year,W31&lt;=(Option_B10_1_Year+($B$4-1))),-PMT($B$2,$B$4,$B$3,,0),0)</f>
        <v>15855.790724318793</v>
      </c>
      <c r="Z31" s="2">
        <f t="shared" ref="Z31:Z43" si="15">IF(W31&gt;=Option_B10_1_Year,X31-Y31,0)</f>
        <v>-11744.504725534409</v>
      </c>
    </row>
    <row r="32" spans="1:26" s="61" customFormat="1" x14ac:dyDescent="0.25">
      <c r="A32" s="96"/>
      <c r="B32" s="53">
        <v>2021</v>
      </c>
      <c r="C32" s="2">
        <f t="shared" si="4"/>
        <v>3342.7814964797508</v>
      </c>
      <c r="D32" s="2">
        <f t="shared" si="5"/>
        <v>15855.790724318793</v>
      </c>
      <c r="E32" s="2">
        <f t="shared" si="6"/>
        <v>-12513.009227839042</v>
      </c>
      <c r="F32" s="48"/>
      <c r="H32" s="96"/>
      <c r="I32" s="53">
        <v>2021</v>
      </c>
      <c r="J32" s="2">
        <f t="shared" si="7"/>
        <v>3644.1060654489775</v>
      </c>
      <c r="K32" s="2">
        <f t="shared" si="8"/>
        <v>15855.790724318793</v>
      </c>
      <c r="L32" s="2">
        <f t="shared" si="9"/>
        <v>-12211.684658869815</v>
      </c>
      <c r="O32" s="96"/>
      <c r="P32" s="53">
        <v>2021</v>
      </c>
      <c r="Q32" s="2">
        <f t="shared" si="10"/>
        <v>2317.3496487346711</v>
      </c>
      <c r="R32" s="2">
        <f t="shared" si="11"/>
        <v>15855.790724318793</v>
      </c>
      <c r="S32" s="2">
        <f t="shared" si="12"/>
        <v>-13538.441075584122</v>
      </c>
      <c r="V32" s="96"/>
      <c r="W32" s="53">
        <v>2021</v>
      </c>
      <c r="X32" s="2">
        <f t="shared" si="13"/>
        <v>4417.5672909487839</v>
      </c>
      <c r="Y32" s="2">
        <f t="shared" si="14"/>
        <v>15855.790724318793</v>
      </c>
      <c r="Z32" s="2">
        <f t="shared" si="15"/>
        <v>-11438.223433370009</v>
      </c>
    </row>
    <row r="33" spans="1:26" s="61" customFormat="1" x14ac:dyDescent="0.25">
      <c r="A33" s="96"/>
      <c r="B33" s="53">
        <v>2022</v>
      </c>
      <c r="C33" s="2">
        <f t="shared" si="4"/>
        <v>3671.4513427269922</v>
      </c>
      <c r="D33" s="2">
        <f t="shared" si="5"/>
        <v>15855.790724318793</v>
      </c>
      <c r="E33" s="2">
        <f t="shared" si="6"/>
        <v>-12184.339381591801</v>
      </c>
      <c r="F33" s="48"/>
      <c r="H33" s="96"/>
      <c r="I33" s="53">
        <v>2022</v>
      </c>
      <c r="J33" s="2">
        <f t="shared" si="7"/>
        <v>3450.0570154019733</v>
      </c>
      <c r="K33" s="2">
        <f t="shared" si="8"/>
        <v>15855.790724318793</v>
      </c>
      <c r="L33" s="2">
        <f t="shared" si="9"/>
        <v>-12405.73370891682</v>
      </c>
      <c r="O33" s="96"/>
      <c r="P33" s="53">
        <v>2022</v>
      </c>
      <c r="Q33" s="2">
        <f t="shared" si="10"/>
        <v>2345.6666408777965</v>
      </c>
      <c r="R33" s="2">
        <f t="shared" si="11"/>
        <v>15855.790724318793</v>
      </c>
      <c r="S33" s="2">
        <f t="shared" si="12"/>
        <v>-13510.124083440996</v>
      </c>
      <c r="V33" s="96"/>
      <c r="W33" s="53">
        <v>2022</v>
      </c>
      <c r="X33" s="2">
        <f t="shared" si="13"/>
        <v>4698.4266163672582</v>
      </c>
      <c r="Y33" s="2">
        <f t="shared" si="14"/>
        <v>15855.790724318793</v>
      </c>
      <c r="Z33" s="2">
        <f t="shared" si="15"/>
        <v>-11157.364107951535</v>
      </c>
    </row>
    <row r="34" spans="1:26" s="61" customFormat="1" x14ac:dyDescent="0.25">
      <c r="A34" s="96"/>
      <c r="B34" s="53">
        <v>2023</v>
      </c>
      <c r="C34" s="2">
        <f t="shared" si="4"/>
        <v>4196.2462380988945</v>
      </c>
      <c r="D34" s="2">
        <f t="shared" si="5"/>
        <v>15855.790724318793</v>
      </c>
      <c r="E34" s="2">
        <f t="shared" si="6"/>
        <v>-11659.544486219898</v>
      </c>
      <c r="F34" s="64"/>
      <c r="H34" s="96"/>
      <c r="I34" s="53">
        <v>2023</v>
      </c>
      <c r="J34" s="2">
        <f t="shared" si="7"/>
        <v>5364.1341723534497</v>
      </c>
      <c r="K34" s="2">
        <f t="shared" si="8"/>
        <v>15855.790724318793</v>
      </c>
      <c r="L34" s="2">
        <f t="shared" si="9"/>
        <v>-10491.656551965343</v>
      </c>
      <c r="O34" s="96"/>
      <c r="P34" s="53">
        <v>2023</v>
      </c>
      <c r="Q34" s="2">
        <f t="shared" si="10"/>
        <v>2155.2359914125846</v>
      </c>
      <c r="R34" s="2">
        <f t="shared" si="11"/>
        <v>15855.790724318793</v>
      </c>
      <c r="S34" s="2">
        <f t="shared" si="12"/>
        <v>-13700.554732906208</v>
      </c>
      <c r="V34" s="96"/>
      <c r="W34" s="53">
        <v>2023</v>
      </c>
      <c r="X34" s="2">
        <f t="shared" si="13"/>
        <v>5599.3457366703224</v>
      </c>
      <c r="Y34" s="2">
        <f t="shared" si="14"/>
        <v>15855.790724318793</v>
      </c>
      <c r="Z34" s="2">
        <f t="shared" si="15"/>
        <v>-10256.44498764847</v>
      </c>
    </row>
    <row r="35" spans="1:26" s="61" customFormat="1" x14ac:dyDescent="0.25">
      <c r="A35" s="96"/>
      <c r="B35" s="53">
        <v>2024</v>
      </c>
      <c r="C35" s="2">
        <f t="shared" si="4"/>
        <v>3053.10457104753</v>
      </c>
      <c r="D35" s="2">
        <f t="shared" si="5"/>
        <v>15855.790724318793</v>
      </c>
      <c r="E35" s="2">
        <f t="shared" si="6"/>
        <v>-12802.686153271263</v>
      </c>
      <c r="H35" s="96"/>
      <c r="I35" s="53">
        <v>2024</v>
      </c>
      <c r="J35" s="2">
        <f t="shared" si="7"/>
        <v>3187.1323975993873</v>
      </c>
      <c r="K35" s="2">
        <f t="shared" si="8"/>
        <v>15855.790724318793</v>
      </c>
      <c r="L35" s="2">
        <f t="shared" si="9"/>
        <v>-12668.658326719406</v>
      </c>
      <c r="O35" s="96"/>
      <c r="P35" s="53">
        <v>2024</v>
      </c>
      <c r="Q35" s="2">
        <f t="shared" si="10"/>
        <v>1589.9936535839151</v>
      </c>
      <c r="R35" s="2">
        <f t="shared" si="11"/>
        <v>15855.790724318793</v>
      </c>
      <c r="S35" s="2">
        <f t="shared" si="12"/>
        <v>-14265.797070734878</v>
      </c>
      <c r="V35" s="96"/>
      <c r="W35" s="53">
        <v>2024</v>
      </c>
      <c r="X35" s="2">
        <f t="shared" si="13"/>
        <v>6432.7308904475431</v>
      </c>
      <c r="Y35" s="2">
        <f t="shared" si="14"/>
        <v>15855.790724318793</v>
      </c>
      <c r="Z35" s="2">
        <f t="shared" si="15"/>
        <v>-9423.0598338712498</v>
      </c>
    </row>
    <row r="36" spans="1:26" s="61" customFormat="1" x14ac:dyDescent="0.25">
      <c r="A36" s="96"/>
      <c r="B36" s="53">
        <v>2025</v>
      </c>
      <c r="C36" s="2">
        <f t="shared" si="4"/>
        <v>3881.6551425189537</v>
      </c>
      <c r="D36" s="2">
        <f t="shared" si="5"/>
        <v>15855.790724318793</v>
      </c>
      <c r="E36" s="2">
        <f t="shared" si="6"/>
        <v>-11974.135581799839</v>
      </c>
      <c r="H36" s="96"/>
      <c r="I36" s="53">
        <v>2025</v>
      </c>
      <c r="J36" s="2">
        <f t="shared" si="7"/>
        <v>4345.8690905707917</v>
      </c>
      <c r="K36" s="2">
        <f t="shared" si="8"/>
        <v>15855.790724318793</v>
      </c>
      <c r="L36" s="2">
        <f t="shared" si="9"/>
        <v>-11509.921633748001</v>
      </c>
      <c r="O36" s="96"/>
      <c r="P36" s="53">
        <v>2025</v>
      </c>
      <c r="Q36" s="2">
        <f t="shared" si="10"/>
        <v>1759.0323075933211</v>
      </c>
      <c r="R36" s="2">
        <f t="shared" si="11"/>
        <v>15855.790724318793</v>
      </c>
      <c r="S36" s="2">
        <f t="shared" si="12"/>
        <v>-14096.758416725472</v>
      </c>
      <c r="V36" s="96"/>
      <c r="W36" s="53">
        <v>2025</v>
      </c>
      <c r="X36" s="2">
        <f t="shared" si="13"/>
        <v>4573.2016594295565</v>
      </c>
      <c r="Y36" s="2">
        <f t="shared" si="14"/>
        <v>15855.790724318793</v>
      </c>
      <c r="Z36" s="2">
        <f t="shared" si="15"/>
        <v>-11282.589064889236</v>
      </c>
    </row>
    <row r="37" spans="1:26" s="61" customFormat="1" x14ac:dyDescent="0.25">
      <c r="A37" s="96"/>
      <c r="B37" s="53">
        <v>2026</v>
      </c>
      <c r="C37" s="2">
        <f t="shared" si="4"/>
        <v>3632.7082072035846</v>
      </c>
      <c r="D37" s="2">
        <f t="shared" si="5"/>
        <v>15855.790724318793</v>
      </c>
      <c r="E37" s="2">
        <f t="shared" si="6"/>
        <v>-12223.082517115208</v>
      </c>
      <c r="H37" s="96"/>
      <c r="I37" s="53">
        <v>2026</v>
      </c>
      <c r="J37" s="2">
        <f t="shared" si="7"/>
        <v>3959.8520336146757</v>
      </c>
      <c r="K37" s="2">
        <f t="shared" si="8"/>
        <v>15855.790724318793</v>
      </c>
      <c r="L37" s="2">
        <f t="shared" si="9"/>
        <v>-11895.938690704117</v>
      </c>
      <c r="O37" s="96"/>
      <c r="P37" s="53">
        <v>2026</v>
      </c>
      <c r="Q37" s="2">
        <f t="shared" si="10"/>
        <v>1886.448331533993</v>
      </c>
      <c r="R37" s="2">
        <f t="shared" si="11"/>
        <v>15855.790724318793</v>
      </c>
      <c r="S37" s="2">
        <f t="shared" si="12"/>
        <v>-13969.3423927848</v>
      </c>
      <c r="V37" s="96"/>
      <c r="W37" s="53">
        <v>2026</v>
      </c>
      <c r="X37" s="2">
        <f t="shared" si="13"/>
        <v>5927.4947584378242</v>
      </c>
      <c r="Y37" s="2">
        <f t="shared" si="14"/>
        <v>15855.790724318793</v>
      </c>
      <c r="Z37" s="2">
        <f t="shared" si="15"/>
        <v>-9928.2959658809687</v>
      </c>
    </row>
    <row r="38" spans="1:26" s="61" customFormat="1" x14ac:dyDescent="0.25">
      <c r="A38" s="96"/>
      <c r="B38" s="53">
        <v>2027</v>
      </c>
      <c r="C38" s="2">
        <f t="shared" si="4"/>
        <v>3788.1221009232104</v>
      </c>
      <c r="D38" s="2">
        <f t="shared" si="5"/>
        <v>15855.790724318793</v>
      </c>
      <c r="E38" s="2">
        <f t="shared" si="6"/>
        <v>-12067.668623395582</v>
      </c>
      <c r="H38" s="96"/>
      <c r="I38" s="53">
        <v>2027</v>
      </c>
      <c r="J38" s="2">
        <f t="shared" si="7"/>
        <v>3445.0677715514503</v>
      </c>
      <c r="K38" s="2">
        <f t="shared" si="8"/>
        <v>15855.790724318793</v>
      </c>
      <c r="L38" s="2">
        <f t="shared" si="9"/>
        <v>-12410.722952767343</v>
      </c>
      <c r="O38" s="96"/>
      <c r="P38" s="53">
        <v>2027</v>
      </c>
      <c r="Q38" s="2">
        <f t="shared" si="10"/>
        <v>2154.7212074552881</v>
      </c>
      <c r="R38" s="2">
        <f t="shared" si="11"/>
        <v>15855.790724318793</v>
      </c>
      <c r="S38" s="2">
        <f t="shared" si="12"/>
        <v>-13701.069516863505</v>
      </c>
      <c r="V38" s="96"/>
      <c r="W38" s="53">
        <v>2027</v>
      </c>
      <c r="X38" s="2">
        <f t="shared" si="13"/>
        <v>7768.4993221492623</v>
      </c>
      <c r="Y38" s="2">
        <f t="shared" si="14"/>
        <v>15855.790724318793</v>
      </c>
      <c r="Z38" s="2">
        <f t="shared" si="15"/>
        <v>-8087.2914021695306</v>
      </c>
    </row>
    <row r="39" spans="1:26" s="61" customFormat="1" x14ac:dyDescent="0.25">
      <c r="A39" s="96"/>
      <c r="B39" s="53">
        <v>2028</v>
      </c>
      <c r="C39" s="2">
        <f t="shared" si="4"/>
        <v>3440.3471418624176</v>
      </c>
      <c r="D39" s="2">
        <f t="shared" si="5"/>
        <v>15855.790724318793</v>
      </c>
      <c r="E39" s="2">
        <f t="shared" si="6"/>
        <v>-12415.443582456375</v>
      </c>
      <c r="H39" s="96"/>
      <c r="I39" s="53">
        <v>2028</v>
      </c>
      <c r="J39" s="2">
        <f t="shared" si="7"/>
        <v>3593.4271211318628</v>
      </c>
      <c r="K39" s="2">
        <f t="shared" si="8"/>
        <v>15855.790724318793</v>
      </c>
      <c r="L39" s="2">
        <f t="shared" si="9"/>
        <v>-12262.36360318693</v>
      </c>
      <c r="O39" s="96"/>
      <c r="P39" s="53">
        <v>2028</v>
      </c>
      <c r="Q39" s="2">
        <f t="shared" si="10"/>
        <v>2182.2004735093851</v>
      </c>
      <c r="R39" s="2">
        <f t="shared" si="11"/>
        <v>15855.790724318793</v>
      </c>
      <c r="S39" s="2">
        <f t="shared" si="12"/>
        <v>-13673.590250809408</v>
      </c>
      <c r="V39" s="96"/>
      <c r="W39" s="53">
        <v>2028</v>
      </c>
      <c r="X39" s="2">
        <f t="shared" si="13"/>
        <v>7488.8053983848658</v>
      </c>
      <c r="Y39" s="2">
        <f t="shared" si="14"/>
        <v>15855.790724318793</v>
      </c>
      <c r="Z39" s="2">
        <f t="shared" si="15"/>
        <v>-8366.985325933927</v>
      </c>
    </row>
    <row r="40" spans="1:26" s="61" customFormat="1" x14ac:dyDescent="0.25">
      <c r="A40" s="96"/>
      <c r="B40" s="53">
        <v>2029</v>
      </c>
      <c r="C40" s="2">
        <f t="shared" si="4"/>
        <v>4613.6857904936405</v>
      </c>
      <c r="D40" s="2">
        <f t="shared" si="5"/>
        <v>15855.790724318793</v>
      </c>
      <c r="E40" s="2">
        <f t="shared" si="6"/>
        <v>-11242.104933825152</v>
      </c>
      <c r="H40" s="96"/>
      <c r="I40" s="53">
        <v>2029</v>
      </c>
      <c r="J40" s="2">
        <f t="shared" si="7"/>
        <v>4033.2596966690107</v>
      </c>
      <c r="K40" s="2">
        <f t="shared" si="8"/>
        <v>15855.790724318793</v>
      </c>
      <c r="L40" s="2">
        <f t="shared" si="9"/>
        <v>-11822.531027649782</v>
      </c>
      <c r="O40" s="96"/>
      <c r="P40" s="53">
        <v>2029</v>
      </c>
      <c r="Q40" s="2">
        <f t="shared" si="10"/>
        <v>2394.8190656775478</v>
      </c>
      <c r="R40" s="2">
        <f t="shared" si="11"/>
        <v>15855.790724318793</v>
      </c>
      <c r="S40" s="2">
        <f t="shared" si="12"/>
        <v>-13460.971658641245</v>
      </c>
      <c r="V40" s="96"/>
      <c r="W40" s="53">
        <v>2029</v>
      </c>
      <c r="X40" s="2">
        <f t="shared" si="13"/>
        <v>6896.7984007096384</v>
      </c>
      <c r="Y40" s="2">
        <f t="shared" si="14"/>
        <v>15855.790724318793</v>
      </c>
      <c r="Z40" s="2">
        <f t="shared" si="15"/>
        <v>-8958.9923236091545</v>
      </c>
    </row>
    <row r="41" spans="1:26" s="61" customFormat="1" x14ac:dyDescent="0.25">
      <c r="A41" s="96"/>
      <c r="B41" s="53">
        <v>2030</v>
      </c>
      <c r="C41" s="2">
        <f t="shared" si="4"/>
        <v>4118.6057317542873</v>
      </c>
      <c r="D41" s="2">
        <f t="shared" si="5"/>
        <v>0</v>
      </c>
      <c r="E41" s="2">
        <f t="shared" si="6"/>
        <v>4118.6057317542873</v>
      </c>
      <c r="H41" s="96"/>
      <c r="I41" s="53">
        <v>2030</v>
      </c>
      <c r="J41" s="2">
        <f t="shared" si="7"/>
        <v>5240.0559352865312</v>
      </c>
      <c r="K41" s="2">
        <f t="shared" si="8"/>
        <v>0</v>
      </c>
      <c r="L41" s="2">
        <f t="shared" si="9"/>
        <v>5240.0559352865312</v>
      </c>
      <c r="O41" s="96"/>
      <c r="P41" s="53">
        <v>2030</v>
      </c>
      <c r="Q41" s="2">
        <f t="shared" si="10"/>
        <v>1754.9121289145187</v>
      </c>
      <c r="R41" s="2">
        <f t="shared" si="11"/>
        <v>0</v>
      </c>
      <c r="S41" s="2">
        <f t="shared" si="12"/>
        <v>1754.9121289145187</v>
      </c>
      <c r="V41" s="96"/>
      <c r="W41" s="53">
        <v>2030</v>
      </c>
      <c r="X41" s="2">
        <f t="shared" si="13"/>
        <v>7390.3329114319349</v>
      </c>
      <c r="Y41" s="2">
        <f t="shared" si="14"/>
        <v>0</v>
      </c>
      <c r="Z41" s="2">
        <f t="shared" si="15"/>
        <v>7390.3329114319349</v>
      </c>
    </row>
    <row r="42" spans="1:26" s="61" customFormat="1" x14ac:dyDescent="0.25">
      <c r="A42" s="96"/>
      <c r="B42" s="53">
        <v>2031</v>
      </c>
      <c r="C42" s="2">
        <f t="shared" si="4"/>
        <v>7198.1200664647331</v>
      </c>
      <c r="D42" s="2">
        <f t="shared" si="5"/>
        <v>0</v>
      </c>
      <c r="E42" s="2">
        <f t="shared" si="6"/>
        <v>7198.1200664647331</v>
      </c>
      <c r="H42" s="96"/>
      <c r="I42" s="53">
        <v>2031</v>
      </c>
      <c r="J42" s="2">
        <f t="shared" si="7"/>
        <v>6645.5169109141061</v>
      </c>
      <c r="K42" s="2">
        <f t="shared" si="8"/>
        <v>0</v>
      </c>
      <c r="L42" s="2">
        <f t="shared" si="9"/>
        <v>6645.5169109141061</v>
      </c>
      <c r="O42" s="96"/>
      <c r="P42" s="53">
        <v>2031</v>
      </c>
      <c r="Q42" s="2">
        <f t="shared" si="10"/>
        <v>-262.00952833932024</v>
      </c>
      <c r="R42" s="2">
        <f t="shared" si="11"/>
        <v>0</v>
      </c>
      <c r="S42" s="2">
        <f t="shared" si="12"/>
        <v>-262.00952833932024</v>
      </c>
      <c r="V42" s="96"/>
      <c r="W42" s="53">
        <v>2031</v>
      </c>
      <c r="X42" s="2">
        <f t="shared" si="13"/>
        <v>5818.8368304024625</v>
      </c>
      <c r="Y42" s="2">
        <f t="shared" si="14"/>
        <v>0</v>
      </c>
      <c r="Z42" s="2">
        <f t="shared" si="15"/>
        <v>5818.8368304024625</v>
      </c>
    </row>
    <row r="43" spans="1:26" s="61" customFormat="1" x14ac:dyDescent="0.25">
      <c r="A43" s="96"/>
      <c r="B43" s="53">
        <v>2032</v>
      </c>
      <c r="C43" s="2">
        <f t="shared" si="4"/>
        <v>6391.9770869826389</v>
      </c>
      <c r="D43" s="2">
        <f t="shared" si="5"/>
        <v>0</v>
      </c>
      <c r="E43" s="2">
        <f t="shared" si="6"/>
        <v>6391.9770869826389</v>
      </c>
      <c r="H43" s="96"/>
      <c r="I43" s="53">
        <v>2032</v>
      </c>
      <c r="J43" s="2">
        <f t="shared" si="7"/>
        <v>6638.8395464242931</v>
      </c>
      <c r="K43" s="2">
        <f t="shared" si="8"/>
        <v>0</v>
      </c>
      <c r="L43" s="2">
        <f t="shared" si="9"/>
        <v>6638.8395464242931</v>
      </c>
      <c r="O43" s="96"/>
      <c r="P43" s="53">
        <v>2032</v>
      </c>
      <c r="Q43" s="2">
        <f t="shared" si="10"/>
        <v>2058.7365513782934</v>
      </c>
      <c r="R43" s="2">
        <f t="shared" si="11"/>
        <v>0</v>
      </c>
      <c r="S43" s="2">
        <f t="shared" si="12"/>
        <v>2058.7365513782934</v>
      </c>
      <c r="V43" s="96"/>
      <c r="W43" s="53">
        <v>2032</v>
      </c>
      <c r="X43" s="2">
        <f t="shared" si="13"/>
        <v>4632.493700752384</v>
      </c>
      <c r="Y43" s="2">
        <f t="shared" si="14"/>
        <v>0</v>
      </c>
      <c r="Z43" s="2">
        <f t="shared" si="15"/>
        <v>4632.493700752384</v>
      </c>
    </row>
    <row r="44" spans="1:26" s="61" customFormat="1" x14ac:dyDescent="0.25">
      <c r="A44" s="97"/>
      <c r="B44" s="53" t="s">
        <v>44</v>
      </c>
      <c r="C44" s="2">
        <f>-PV($B$2,(Non_network_option_lifespan-(B43-Option_B10_1_Year)),AVERAGE(C41:C43),,0)</f>
        <v>15778.524807203283</v>
      </c>
      <c r="D44" s="2">
        <f>-PV($B$2,($B$4-COUNTIF(D31:D43,"&gt;"&amp;0)),$D$43,,0)</f>
        <v>0</v>
      </c>
      <c r="E44" s="2"/>
      <c r="H44" s="97"/>
      <c r="I44" s="53" t="s">
        <v>44</v>
      </c>
      <c r="J44" s="2">
        <f>-PV($B$2,(Non_network_option_lifespan-(I43-Option_B10_1_Year)),AVERAGE(J41:J43),,0)</f>
        <v>16505.325227413909</v>
      </c>
      <c r="K44" s="2">
        <f>-PV($B$2,($B$4-COUNTIF(K31:K43,"&gt;"&amp;0)),$D$43,,0)</f>
        <v>0</v>
      </c>
      <c r="L44" s="2"/>
      <c r="O44" s="97"/>
      <c r="P44" s="53" t="s">
        <v>44</v>
      </c>
      <c r="Q44" s="2">
        <f>-PV($B$2,(Non_network_option_lifespan-(P43-Option_B10_1_Year)),AVERAGE(Q41:Q43),,0)</f>
        <v>3164.5246311158294</v>
      </c>
      <c r="R44" s="2">
        <f>-PV($B$2,($B$4-COUNTIF(R31:R43,"&gt;"&amp;0)),$D$43,,0)</f>
        <v>0</v>
      </c>
      <c r="S44" s="2"/>
      <c r="V44" s="97"/>
      <c r="W44" s="53" t="s">
        <v>44</v>
      </c>
      <c r="X44" s="2">
        <f>-PV($B$2,(Non_network_option_lifespan-(W43-Option_B10_1_Year)),AVERAGE(X41:X43),,0)</f>
        <v>15896.993193435786</v>
      </c>
      <c r="Y44" s="2">
        <f>-PV($B$2,($B$4-COUNTIF(Y31:Y43,"&gt;"&amp;0)),$D$43,,0)</f>
        <v>0</v>
      </c>
      <c r="Z44" s="2"/>
    </row>
    <row r="45" spans="1:26" s="61" customFormat="1" x14ac:dyDescent="0.25"/>
    <row r="46" spans="1:26" s="61" customFormat="1" x14ac:dyDescent="0.25">
      <c r="A46" s="62" t="s">
        <v>82</v>
      </c>
    </row>
    <row r="47" spans="1:26" s="61" customFormat="1" x14ac:dyDescent="0.25">
      <c r="A47" s="46" t="s">
        <v>9</v>
      </c>
      <c r="B47" s="27"/>
      <c r="C47" s="60"/>
      <c r="D47" s="27"/>
      <c r="E47" s="60">
        <f>NPV($B$2,C49:C69)</f>
        <v>0</v>
      </c>
      <c r="H47" s="46" t="s">
        <v>89</v>
      </c>
      <c r="I47" s="27"/>
      <c r="J47" s="60"/>
      <c r="K47" s="27"/>
      <c r="L47" s="60">
        <f>NPV($B$2,J49:J69)</f>
        <v>0</v>
      </c>
      <c r="O47" s="46" t="s">
        <v>20</v>
      </c>
      <c r="P47" s="27"/>
      <c r="Q47" s="60"/>
      <c r="R47" s="27"/>
      <c r="S47" s="60">
        <f>NPV($B$2,Q49:Q69)</f>
        <v>0</v>
      </c>
      <c r="V47" s="46" t="s">
        <v>21</v>
      </c>
      <c r="W47" s="27"/>
      <c r="X47" s="60"/>
      <c r="Y47" s="27"/>
      <c r="Z47" s="60">
        <f>NPV($B$2,X49:X69)</f>
        <v>0</v>
      </c>
    </row>
    <row r="48" spans="1:26" s="61" customFormat="1" x14ac:dyDescent="0.25">
      <c r="A48" s="13" t="s">
        <v>0</v>
      </c>
      <c r="B48" s="13" t="s">
        <v>1</v>
      </c>
      <c r="C48" s="13" t="s">
        <v>26</v>
      </c>
      <c r="D48" s="13" t="s">
        <v>27</v>
      </c>
      <c r="E48" s="53" t="s">
        <v>28</v>
      </c>
      <c r="F48" s="63"/>
      <c r="H48" s="13" t="s">
        <v>0</v>
      </c>
      <c r="I48" s="13" t="s">
        <v>1</v>
      </c>
      <c r="J48" s="13" t="s">
        <v>26</v>
      </c>
      <c r="K48" s="13" t="s">
        <v>27</v>
      </c>
      <c r="L48" s="53" t="s">
        <v>28</v>
      </c>
      <c r="M48" s="63"/>
      <c r="N48" s="63"/>
      <c r="O48" s="13" t="s">
        <v>0</v>
      </c>
      <c r="P48" s="13" t="s">
        <v>1</v>
      </c>
      <c r="Q48" s="13" t="s">
        <v>26</v>
      </c>
      <c r="R48" s="13" t="s">
        <v>27</v>
      </c>
      <c r="S48" s="53" t="s">
        <v>28</v>
      </c>
      <c r="V48" s="13" t="s">
        <v>0</v>
      </c>
      <c r="W48" s="13" t="s">
        <v>1</v>
      </c>
      <c r="X48" s="13" t="s">
        <v>26</v>
      </c>
      <c r="Y48" s="13" t="s">
        <v>27</v>
      </c>
      <c r="Z48" s="53" t="s">
        <v>28</v>
      </c>
    </row>
    <row r="49" spans="1:26" s="61" customFormat="1" x14ac:dyDescent="0.25">
      <c r="A49" s="95" t="s">
        <v>10</v>
      </c>
      <c r="B49" s="13">
        <v>2020</v>
      </c>
      <c r="C49" s="2">
        <v>0</v>
      </c>
      <c r="D49" s="2">
        <v>0</v>
      </c>
      <c r="E49" s="2">
        <v>0</v>
      </c>
      <c r="F49" s="66"/>
      <c r="H49" s="95" t="s">
        <v>10</v>
      </c>
      <c r="I49" s="13">
        <v>2020</v>
      </c>
      <c r="J49" s="2">
        <v>0</v>
      </c>
      <c r="K49" s="2">
        <v>0</v>
      </c>
      <c r="L49" s="2">
        <v>0</v>
      </c>
      <c r="M49" s="63"/>
      <c r="N49" s="63"/>
      <c r="O49" s="95" t="s">
        <v>10</v>
      </c>
      <c r="P49" s="13">
        <v>2020</v>
      </c>
      <c r="Q49" s="2">
        <v>0</v>
      </c>
      <c r="R49" s="2">
        <v>0</v>
      </c>
      <c r="S49" s="2">
        <v>0</v>
      </c>
      <c r="V49" s="95" t="s">
        <v>10</v>
      </c>
      <c r="W49" s="13">
        <v>2020</v>
      </c>
      <c r="X49" s="2">
        <v>0</v>
      </c>
      <c r="Y49" s="2">
        <v>0</v>
      </c>
      <c r="Z49" s="2">
        <v>0</v>
      </c>
    </row>
    <row r="50" spans="1:26" s="61" customFormat="1" x14ac:dyDescent="0.25">
      <c r="A50" s="96"/>
      <c r="B50" s="53">
        <v>2021</v>
      </c>
      <c r="C50" s="2">
        <v>0</v>
      </c>
      <c r="D50" s="2">
        <v>0</v>
      </c>
      <c r="E50" s="2">
        <v>0</v>
      </c>
      <c r="H50" s="96" t="s">
        <v>10</v>
      </c>
      <c r="I50" s="53">
        <v>2021</v>
      </c>
      <c r="J50" s="2">
        <v>0</v>
      </c>
      <c r="K50" s="2">
        <v>0</v>
      </c>
      <c r="L50" s="2">
        <v>0</v>
      </c>
      <c r="O50" s="96" t="s">
        <v>10</v>
      </c>
      <c r="P50" s="53">
        <v>2021</v>
      </c>
      <c r="Q50" s="2">
        <v>0</v>
      </c>
      <c r="R50" s="2">
        <v>0</v>
      </c>
      <c r="S50" s="2">
        <v>0</v>
      </c>
      <c r="V50" s="96" t="s">
        <v>10</v>
      </c>
      <c r="W50" s="53">
        <v>2021</v>
      </c>
      <c r="X50" s="2">
        <v>0</v>
      </c>
      <c r="Y50" s="2">
        <v>0</v>
      </c>
      <c r="Z50" s="2">
        <v>0</v>
      </c>
    </row>
    <row r="51" spans="1:26" s="61" customFormat="1" x14ac:dyDescent="0.25">
      <c r="A51" s="96"/>
      <c r="B51" s="53">
        <v>2022</v>
      </c>
      <c r="C51" s="2">
        <v>0</v>
      </c>
      <c r="D51" s="2">
        <v>0</v>
      </c>
      <c r="E51" s="2">
        <v>0</v>
      </c>
      <c r="H51" s="96"/>
      <c r="I51" s="53">
        <v>2022</v>
      </c>
      <c r="J51" s="2">
        <v>0</v>
      </c>
      <c r="K51" s="2">
        <v>0</v>
      </c>
      <c r="L51" s="2">
        <v>0</v>
      </c>
      <c r="O51" s="96"/>
      <c r="P51" s="53">
        <v>2022</v>
      </c>
      <c r="Q51" s="2">
        <v>0</v>
      </c>
      <c r="R51" s="2">
        <v>0</v>
      </c>
      <c r="S51" s="2">
        <v>0</v>
      </c>
      <c r="V51" s="96"/>
      <c r="W51" s="53">
        <v>2022</v>
      </c>
      <c r="X51" s="2">
        <v>0</v>
      </c>
      <c r="Y51" s="2">
        <v>0</v>
      </c>
      <c r="Z51" s="2">
        <v>0</v>
      </c>
    </row>
    <row r="52" spans="1:26" s="61" customFormat="1" x14ac:dyDescent="0.25">
      <c r="A52" s="96"/>
      <c r="B52" s="53">
        <v>2023</v>
      </c>
      <c r="C52" s="2">
        <v>0</v>
      </c>
      <c r="D52" s="2">
        <v>0</v>
      </c>
      <c r="E52" s="2">
        <v>0</v>
      </c>
      <c r="H52" s="96"/>
      <c r="I52" s="53">
        <v>2023</v>
      </c>
      <c r="J52" s="2">
        <v>0</v>
      </c>
      <c r="K52" s="2">
        <v>0</v>
      </c>
      <c r="L52" s="2">
        <v>0</v>
      </c>
      <c r="O52" s="96"/>
      <c r="P52" s="53">
        <v>2023</v>
      </c>
      <c r="Q52" s="2">
        <v>0</v>
      </c>
      <c r="R52" s="2">
        <v>0</v>
      </c>
      <c r="S52" s="2">
        <v>0</v>
      </c>
      <c r="V52" s="96"/>
      <c r="W52" s="53">
        <v>2023</v>
      </c>
      <c r="X52" s="2">
        <v>0</v>
      </c>
      <c r="Y52" s="2">
        <v>0</v>
      </c>
      <c r="Z52" s="2">
        <v>0</v>
      </c>
    </row>
    <row r="53" spans="1:26" s="61" customFormat="1" x14ac:dyDescent="0.25">
      <c r="A53" s="96"/>
      <c r="B53" s="53">
        <v>2024</v>
      </c>
      <c r="C53" s="2">
        <v>0</v>
      </c>
      <c r="D53" s="2">
        <v>0</v>
      </c>
      <c r="E53" s="2">
        <v>0</v>
      </c>
      <c r="H53" s="96"/>
      <c r="I53" s="53">
        <v>2024</v>
      </c>
      <c r="J53" s="2">
        <v>0</v>
      </c>
      <c r="K53" s="2">
        <v>0</v>
      </c>
      <c r="L53" s="2">
        <v>0</v>
      </c>
      <c r="O53" s="96"/>
      <c r="P53" s="53">
        <v>2024</v>
      </c>
      <c r="Q53" s="2">
        <v>0</v>
      </c>
      <c r="R53" s="2">
        <v>0</v>
      </c>
      <c r="S53" s="2">
        <v>0</v>
      </c>
      <c r="V53" s="96"/>
      <c r="W53" s="53">
        <v>2024</v>
      </c>
      <c r="X53" s="2">
        <v>0</v>
      </c>
      <c r="Y53" s="2">
        <v>0</v>
      </c>
      <c r="Z53" s="2">
        <v>0</v>
      </c>
    </row>
    <row r="54" spans="1:26" s="61" customFormat="1" x14ac:dyDescent="0.25">
      <c r="A54" s="96"/>
      <c r="B54" s="53">
        <v>2025</v>
      </c>
      <c r="C54" s="2">
        <v>0</v>
      </c>
      <c r="D54" s="2">
        <v>0</v>
      </c>
      <c r="E54" s="2">
        <v>0</v>
      </c>
      <c r="H54" s="96"/>
      <c r="I54" s="53">
        <v>2025</v>
      </c>
      <c r="J54" s="2">
        <v>0</v>
      </c>
      <c r="K54" s="2">
        <v>0</v>
      </c>
      <c r="L54" s="2">
        <v>0</v>
      </c>
      <c r="O54" s="96"/>
      <c r="P54" s="53">
        <v>2025</v>
      </c>
      <c r="Q54" s="2">
        <v>0</v>
      </c>
      <c r="R54" s="2">
        <v>0</v>
      </c>
      <c r="S54" s="2">
        <v>0</v>
      </c>
      <c r="V54" s="96"/>
      <c r="W54" s="53">
        <v>2025</v>
      </c>
      <c r="X54" s="2">
        <v>0</v>
      </c>
      <c r="Y54" s="2">
        <v>0</v>
      </c>
      <c r="Z54" s="2">
        <v>0</v>
      </c>
    </row>
    <row r="55" spans="1:26" s="61" customFormat="1" x14ac:dyDescent="0.25">
      <c r="A55" s="96"/>
      <c r="B55" s="53">
        <v>2026</v>
      </c>
      <c r="C55" s="2">
        <v>0</v>
      </c>
      <c r="D55" s="2">
        <v>0</v>
      </c>
      <c r="E55" s="2">
        <v>0</v>
      </c>
      <c r="H55" s="96"/>
      <c r="I55" s="53">
        <v>2026</v>
      </c>
      <c r="J55" s="2">
        <v>0</v>
      </c>
      <c r="K55" s="2">
        <v>0</v>
      </c>
      <c r="L55" s="2">
        <v>0</v>
      </c>
      <c r="O55" s="96"/>
      <c r="P55" s="53">
        <v>2026</v>
      </c>
      <c r="Q55" s="2">
        <v>0</v>
      </c>
      <c r="R55" s="2">
        <v>0</v>
      </c>
      <c r="S55" s="2">
        <v>0</v>
      </c>
      <c r="V55" s="96"/>
      <c r="W55" s="53">
        <v>2026</v>
      </c>
      <c r="X55" s="2">
        <v>0</v>
      </c>
      <c r="Y55" s="2">
        <v>0</v>
      </c>
      <c r="Z55" s="2">
        <v>0</v>
      </c>
    </row>
    <row r="56" spans="1:26" s="61" customFormat="1" x14ac:dyDescent="0.25">
      <c r="A56" s="96"/>
      <c r="B56" s="53">
        <v>2027</v>
      </c>
      <c r="C56" s="2">
        <v>0</v>
      </c>
      <c r="D56" s="2">
        <v>0</v>
      </c>
      <c r="E56" s="2">
        <v>0</v>
      </c>
      <c r="H56" s="96"/>
      <c r="I56" s="53">
        <v>2027</v>
      </c>
      <c r="J56" s="2">
        <v>0</v>
      </c>
      <c r="K56" s="2">
        <v>0</v>
      </c>
      <c r="L56" s="2">
        <v>0</v>
      </c>
      <c r="O56" s="96"/>
      <c r="P56" s="53">
        <v>2027</v>
      </c>
      <c r="Q56" s="2">
        <v>0</v>
      </c>
      <c r="R56" s="2">
        <v>0</v>
      </c>
      <c r="S56" s="2">
        <v>0</v>
      </c>
      <c r="V56" s="96"/>
      <c r="W56" s="53">
        <v>2027</v>
      </c>
      <c r="X56" s="2">
        <v>0</v>
      </c>
      <c r="Y56" s="2">
        <v>0</v>
      </c>
      <c r="Z56" s="2">
        <v>0</v>
      </c>
    </row>
    <row r="57" spans="1:26" s="61" customFormat="1" x14ac:dyDescent="0.25">
      <c r="A57" s="96"/>
      <c r="B57" s="53">
        <v>2028</v>
      </c>
      <c r="C57" s="2">
        <v>0</v>
      </c>
      <c r="D57" s="2">
        <v>0</v>
      </c>
      <c r="E57" s="2">
        <v>0</v>
      </c>
      <c r="H57" s="96"/>
      <c r="I57" s="53">
        <v>2028</v>
      </c>
      <c r="J57" s="2">
        <v>0</v>
      </c>
      <c r="K57" s="2">
        <v>0</v>
      </c>
      <c r="L57" s="2">
        <v>0</v>
      </c>
      <c r="O57" s="96"/>
      <c r="P57" s="53">
        <v>2028</v>
      </c>
      <c r="Q57" s="2">
        <v>0</v>
      </c>
      <c r="R57" s="2">
        <v>0</v>
      </c>
      <c r="S57" s="2">
        <v>0</v>
      </c>
      <c r="V57" s="96"/>
      <c r="W57" s="53">
        <v>2028</v>
      </c>
      <c r="X57" s="2">
        <v>0</v>
      </c>
      <c r="Y57" s="2">
        <v>0</v>
      </c>
      <c r="Z57" s="2">
        <v>0</v>
      </c>
    </row>
    <row r="58" spans="1:26" s="61" customFormat="1" x14ac:dyDescent="0.25">
      <c r="A58" s="96"/>
      <c r="B58" s="53">
        <v>2029</v>
      </c>
      <c r="C58" s="2">
        <v>0</v>
      </c>
      <c r="D58" s="2">
        <v>0</v>
      </c>
      <c r="E58" s="2">
        <v>0</v>
      </c>
      <c r="H58" s="96"/>
      <c r="I58" s="53">
        <v>2029</v>
      </c>
      <c r="J58" s="2">
        <v>0</v>
      </c>
      <c r="K58" s="2">
        <v>0</v>
      </c>
      <c r="L58" s="2">
        <v>0</v>
      </c>
      <c r="O58" s="96"/>
      <c r="P58" s="53">
        <v>2029</v>
      </c>
      <c r="Q58" s="2">
        <v>0</v>
      </c>
      <c r="R58" s="2">
        <v>0</v>
      </c>
      <c r="S58" s="2">
        <v>0</v>
      </c>
      <c r="V58" s="96"/>
      <c r="W58" s="53">
        <v>2029</v>
      </c>
      <c r="X58" s="2">
        <v>0</v>
      </c>
      <c r="Y58" s="2">
        <v>0</v>
      </c>
      <c r="Z58" s="2">
        <v>0</v>
      </c>
    </row>
    <row r="59" spans="1:26" s="61" customFormat="1" x14ac:dyDescent="0.25">
      <c r="A59" s="96"/>
      <c r="B59" s="53">
        <v>2030</v>
      </c>
      <c r="C59" s="2">
        <v>0</v>
      </c>
      <c r="D59" s="2">
        <v>0</v>
      </c>
      <c r="E59" s="2">
        <v>0</v>
      </c>
      <c r="H59" s="96"/>
      <c r="I59" s="53">
        <v>2030</v>
      </c>
      <c r="J59" s="2">
        <v>0</v>
      </c>
      <c r="K59" s="2">
        <v>0</v>
      </c>
      <c r="L59" s="2">
        <v>0</v>
      </c>
      <c r="O59" s="96"/>
      <c r="P59" s="53">
        <v>2030</v>
      </c>
      <c r="Q59" s="2">
        <v>0</v>
      </c>
      <c r="R59" s="2">
        <v>0</v>
      </c>
      <c r="S59" s="2">
        <v>0</v>
      </c>
      <c r="V59" s="96"/>
      <c r="W59" s="53">
        <v>2030</v>
      </c>
      <c r="X59" s="2">
        <v>0</v>
      </c>
      <c r="Y59" s="2">
        <v>0</v>
      </c>
      <c r="Z59" s="2">
        <v>0</v>
      </c>
    </row>
    <row r="60" spans="1:26" s="61" customFormat="1" x14ac:dyDescent="0.25">
      <c r="A60" s="96"/>
      <c r="B60" s="53">
        <v>2031</v>
      </c>
      <c r="C60" s="2">
        <v>0</v>
      </c>
      <c r="D60" s="2">
        <v>0</v>
      </c>
      <c r="E60" s="2">
        <v>0</v>
      </c>
      <c r="H60" s="96"/>
      <c r="I60" s="53">
        <v>2031</v>
      </c>
      <c r="J60" s="2">
        <v>0</v>
      </c>
      <c r="K60" s="2">
        <v>0</v>
      </c>
      <c r="L60" s="2">
        <v>0</v>
      </c>
      <c r="O60" s="96"/>
      <c r="P60" s="53">
        <v>2031</v>
      </c>
      <c r="Q60" s="2">
        <v>0</v>
      </c>
      <c r="R60" s="2">
        <v>0</v>
      </c>
      <c r="S60" s="2">
        <v>0</v>
      </c>
      <c r="V60" s="96"/>
      <c r="W60" s="53">
        <v>2031</v>
      </c>
      <c r="X60" s="2">
        <v>0</v>
      </c>
      <c r="Y60" s="2">
        <v>0</v>
      </c>
      <c r="Z60" s="2">
        <v>0</v>
      </c>
    </row>
    <row r="61" spans="1:26" s="61" customFormat="1" x14ac:dyDescent="0.25">
      <c r="A61" s="96"/>
      <c r="B61" s="53">
        <v>2032</v>
      </c>
      <c r="C61" s="2">
        <v>0</v>
      </c>
      <c r="D61" s="2">
        <v>0</v>
      </c>
      <c r="E61" s="2">
        <v>0</v>
      </c>
      <c r="H61" s="96"/>
      <c r="I61" s="53">
        <v>2032</v>
      </c>
      <c r="J61" s="2">
        <v>0</v>
      </c>
      <c r="K61" s="2">
        <v>0</v>
      </c>
      <c r="L61" s="2">
        <v>0</v>
      </c>
      <c r="O61" s="96"/>
      <c r="P61" s="53">
        <v>2032</v>
      </c>
      <c r="Q61" s="2">
        <v>0</v>
      </c>
      <c r="R61" s="2">
        <v>0</v>
      </c>
      <c r="S61" s="2">
        <v>0</v>
      </c>
      <c r="V61" s="96"/>
      <c r="W61" s="53">
        <v>2032</v>
      </c>
      <c r="X61" s="2">
        <v>0</v>
      </c>
      <c r="Y61" s="2">
        <v>0</v>
      </c>
      <c r="Z61" s="2">
        <v>0</v>
      </c>
    </row>
    <row r="62" spans="1:26" s="61" customFormat="1" x14ac:dyDescent="0.25">
      <c r="A62" s="96"/>
      <c r="B62" s="53">
        <v>2033</v>
      </c>
      <c r="C62" s="2">
        <v>0</v>
      </c>
      <c r="D62" s="2">
        <v>0</v>
      </c>
      <c r="E62" s="2">
        <v>0</v>
      </c>
      <c r="H62" s="96"/>
      <c r="I62" s="53">
        <v>2033</v>
      </c>
      <c r="J62" s="2">
        <v>0</v>
      </c>
      <c r="K62" s="2">
        <v>0</v>
      </c>
      <c r="L62" s="2">
        <v>0</v>
      </c>
      <c r="O62" s="96"/>
      <c r="P62" s="53">
        <v>2033</v>
      </c>
      <c r="Q62" s="2">
        <v>0</v>
      </c>
      <c r="R62" s="2">
        <v>0</v>
      </c>
      <c r="S62" s="2">
        <v>0</v>
      </c>
      <c r="V62" s="96"/>
      <c r="W62" s="53">
        <v>2033</v>
      </c>
      <c r="X62" s="2">
        <v>0</v>
      </c>
      <c r="Y62" s="2">
        <v>0</v>
      </c>
      <c r="Z62" s="2">
        <v>0</v>
      </c>
    </row>
    <row r="63" spans="1:26" s="61" customFormat="1" x14ac:dyDescent="0.25">
      <c r="A63" s="96"/>
      <c r="B63" s="53">
        <v>2034</v>
      </c>
      <c r="C63" s="2">
        <v>0</v>
      </c>
      <c r="D63" s="2">
        <v>0</v>
      </c>
      <c r="E63" s="2">
        <v>0</v>
      </c>
      <c r="H63" s="96"/>
      <c r="I63" s="53">
        <v>2034</v>
      </c>
      <c r="J63" s="2">
        <v>0</v>
      </c>
      <c r="K63" s="2">
        <v>0</v>
      </c>
      <c r="L63" s="2">
        <v>0</v>
      </c>
      <c r="O63" s="96"/>
      <c r="P63" s="53">
        <v>2034</v>
      </c>
      <c r="Q63" s="2">
        <v>0</v>
      </c>
      <c r="R63" s="2">
        <v>0</v>
      </c>
      <c r="S63" s="2">
        <v>0</v>
      </c>
      <c r="V63" s="96"/>
      <c r="W63" s="53">
        <v>2034</v>
      </c>
      <c r="X63" s="2">
        <v>0</v>
      </c>
      <c r="Y63" s="2">
        <v>0</v>
      </c>
      <c r="Z63" s="2">
        <v>0</v>
      </c>
    </row>
    <row r="64" spans="1:26" s="61" customFormat="1" x14ac:dyDescent="0.25">
      <c r="A64" s="96"/>
      <c r="B64" s="53">
        <v>2035</v>
      </c>
      <c r="C64" s="2">
        <v>0</v>
      </c>
      <c r="D64" s="2">
        <v>0</v>
      </c>
      <c r="E64" s="2">
        <v>0</v>
      </c>
      <c r="H64" s="96"/>
      <c r="I64" s="53">
        <v>2035</v>
      </c>
      <c r="J64" s="2">
        <v>0</v>
      </c>
      <c r="K64" s="2">
        <v>0</v>
      </c>
      <c r="L64" s="2">
        <v>0</v>
      </c>
      <c r="O64" s="96"/>
      <c r="P64" s="53">
        <v>2035</v>
      </c>
      <c r="Q64" s="2">
        <v>0</v>
      </c>
      <c r="R64" s="2">
        <v>0</v>
      </c>
      <c r="S64" s="2">
        <v>0</v>
      </c>
      <c r="V64" s="96"/>
      <c r="W64" s="53">
        <v>2035</v>
      </c>
      <c r="X64" s="2">
        <v>0</v>
      </c>
      <c r="Y64" s="2">
        <v>0</v>
      </c>
      <c r="Z64" s="2">
        <v>0</v>
      </c>
    </row>
    <row r="65" spans="1:27" s="61" customFormat="1" x14ac:dyDescent="0.25">
      <c r="A65" s="96"/>
      <c r="B65" s="53">
        <v>2036</v>
      </c>
      <c r="C65" s="2">
        <v>0</v>
      </c>
      <c r="D65" s="2">
        <v>0</v>
      </c>
      <c r="E65" s="2">
        <v>0</v>
      </c>
      <c r="H65" s="96"/>
      <c r="I65" s="53">
        <v>2036</v>
      </c>
      <c r="J65" s="2">
        <v>0</v>
      </c>
      <c r="K65" s="2">
        <v>0</v>
      </c>
      <c r="L65" s="2">
        <v>0</v>
      </c>
      <c r="O65" s="96"/>
      <c r="P65" s="53">
        <v>2036</v>
      </c>
      <c r="Q65" s="2">
        <v>0</v>
      </c>
      <c r="R65" s="2">
        <v>0</v>
      </c>
      <c r="S65" s="2">
        <v>0</v>
      </c>
      <c r="V65" s="96"/>
      <c r="W65" s="53">
        <v>2036</v>
      </c>
      <c r="X65" s="2">
        <v>0</v>
      </c>
      <c r="Y65" s="2">
        <v>0</v>
      </c>
      <c r="Z65" s="2">
        <v>0</v>
      </c>
    </row>
    <row r="66" spans="1:27" s="61" customFormat="1" x14ac:dyDescent="0.25">
      <c r="A66" s="96"/>
      <c r="B66" s="53">
        <v>2037</v>
      </c>
      <c r="C66" s="2">
        <v>0</v>
      </c>
      <c r="D66" s="2">
        <v>0</v>
      </c>
      <c r="E66" s="2">
        <v>0</v>
      </c>
      <c r="H66" s="96"/>
      <c r="I66" s="53">
        <v>2037</v>
      </c>
      <c r="J66" s="2">
        <v>0</v>
      </c>
      <c r="K66" s="2">
        <v>0</v>
      </c>
      <c r="L66" s="2">
        <v>0</v>
      </c>
      <c r="O66" s="96"/>
      <c r="P66" s="53">
        <v>2037</v>
      </c>
      <c r="Q66" s="2">
        <v>0</v>
      </c>
      <c r="R66" s="2">
        <v>0</v>
      </c>
      <c r="S66" s="2">
        <v>0</v>
      </c>
      <c r="V66" s="96"/>
      <c r="W66" s="53">
        <v>2037</v>
      </c>
      <c r="X66" s="2">
        <v>0</v>
      </c>
      <c r="Y66" s="2">
        <v>0</v>
      </c>
      <c r="Z66" s="2">
        <v>0</v>
      </c>
    </row>
    <row r="67" spans="1:27" s="61" customFormat="1" x14ac:dyDescent="0.25">
      <c r="A67" s="96"/>
      <c r="B67" s="53">
        <v>2038</v>
      </c>
      <c r="C67" s="2">
        <v>0</v>
      </c>
      <c r="D67" s="2">
        <v>0</v>
      </c>
      <c r="E67" s="2">
        <v>0</v>
      </c>
      <c r="H67" s="96"/>
      <c r="I67" s="53">
        <v>2038</v>
      </c>
      <c r="J67" s="2">
        <v>0</v>
      </c>
      <c r="K67" s="2">
        <v>0</v>
      </c>
      <c r="L67" s="2">
        <v>0</v>
      </c>
      <c r="O67" s="96"/>
      <c r="P67" s="53">
        <v>2038</v>
      </c>
      <c r="Q67" s="2">
        <v>0</v>
      </c>
      <c r="R67" s="2">
        <v>0</v>
      </c>
      <c r="S67" s="2">
        <v>0</v>
      </c>
      <c r="V67" s="96"/>
      <c r="W67" s="53">
        <v>2038</v>
      </c>
      <c r="X67" s="2">
        <v>0</v>
      </c>
      <c r="Y67" s="2">
        <v>0</v>
      </c>
      <c r="Z67" s="2">
        <v>0</v>
      </c>
    </row>
    <row r="68" spans="1:27" s="61" customFormat="1" x14ac:dyDescent="0.25">
      <c r="A68" s="96"/>
      <c r="B68" s="53">
        <v>2039</v>
      </c>
      <c r="C68" s="2">
        <v>0</v>
      </c>
      <c r="D68" s="2">
        <v>0</v>
      </c>
      <c r="E68" s="2">
        <v>0</v>
      </c>
      <c r="H68" s="96"/>
      <c r="I68" s="53">
        <v>2039</v>
      </c>
      <c r="J68" s="2">
        <v>0</v>
      </c>
      <c r="K68" s="2">
        <v>0</v>
      </c>
      <c r="L68" s="2">
        <v>0</v>
      </c>
      <c r="O68" s="96"/>
      <c r="P68" s="53">
        <v>2039</v>
      </c>
      <c r="Q68" s="2">
        <v>0</v>
      </c>
      <c r="R68" s="2">
        <v>0</v>
      </c>
      <c r="S68" s="2">
        <v>0</v>
      </c>
      <c r="V68" s="96"/>
      <c r="W68" s="53">
        <v>2039</v>
      </c>
      <c r="X68" s="2">
        <v>0</v>
      </c>
      <c r="Y68" s="2">
        <v>0</v>
      </c>
      <c r="Z68" s="2">
        <v>0</v>
      </c>
    </row>
    <row r="69" spans="1:27" s="61" customFormat="1" x14ac:dyDescent="0.25">
      <c r="A69" s="97"/>
      <c r="B69" s="53">
        <v>2040</v>
      </c>
      <c r="C69" s="2">
        <v>0</v>
      </c>
      <c r="D69" s="2">
        <v>0</v>
      </c>
      <c r="E69" s="2">
        <v>0</v>
      </c>
      <c r="H69" s="97"/>
      <c r="I69" s="53">
        <v>2040</v>
      </c>
      <c r="J69" s="2">
        <v>0</v>
      </c>
      <c r="K69" s="2">
        <v>0</v>
      </c>
      <c r="L69" s="2">
        <v>0</v>
      </c>
      <c r="O69" s="97"/>
      <c r="P69" s="53">
        <v>2040</v>
      </c>
      <c r="Q69" s="2">
        <v>0</v>
      </c>
      <c r="R69" s="2">
        <v>0</v>
      </c>
      <c r="S69" s="2">
        <v>0</v>
      </c>
      <c r="V69" s="97"/>
      <c r="W69" s="53">
        <v>2040</v>
      </c>
      <c r="X69" s="2">
        <v>0</v>
      </c>
      <c r="Y69" s="2">
        <v>0</v>
      </c>
      <c r="Z69" s="2">
        <v>0</v>
      </c>
    </row>
    <row r="70" spans="1:27" s="61" customFormat="1" x14ac:dyDescent="0.25">
      <c r="A70" s="41"/>
      <c r="B70" s="65"/>
      <c r="C70" s="4"/>
      <c r="D70" s="4"/>
      <c r="E70" s="4"/>
      <c r="H70" s="41"/>
      <c r="I70" s="65"/>
      <c r="J70" s="4"/>
      <c r="K70" s="4"/>
      <c r="L70" s="4"/>
      <c r="O70" s="41"/>
      <c r="P70" s="65"/>
      <c r="Q70" s="4"/>
      <c r="R70" s="4"/>
      <c r="S70" s="4"/>
      <c r="V70" s="41"/>
      <c r="W70" s="65"/>
      <c r="X70" s="4"/>
      <c r="Y70" s="4"/>
      <c r="Z70" s="4"/>
    </row>
    <row r="71" spans="1:27" s="61" customFormat="1" x14ac:dyDescent="0.25">
      <c r="A71" s="73" t="s">
        <v>64</v>
      </c>
      <c r="B71" s="65"/>
      <c r="C71" s="4"/>
      <c r="D71" s="4"/>
      <c r="E71" s="4"/>
      <c r="H71" s="73"/>
      <c r="I71" s="65"/>
      <c r="J71" s="4"/>
      <c r="K71" s="4"/>
      <c r="L71" s="4"/>
      <c r="O71" s="73"/>
      <c r="P71" s="65"/>
      <c r="Q71" s="4"/>
      <c r="R71" s="4"/>
      <c r="S71" s="4"/>
      <c r="V71" s="73"/>
      <c r="W71" s="65"/>
      <c r="X71" s="4"/>
      <c r="Y71" s="4"/>
      <c r="Z71" s="4"/>
    </row>
    <row r="72" spans="1:27" s="61" customFormat="1" x14ac:dyDescent="0.25">
      <c r="A72" s="46" t="s">
        <v>9</v>
      </c>
      <c r="B72" s="46"/>
      <c r="C72" s="75">
        <f>NPV($B$2,C74:C86)</f>
        <v>0</v>
      </c>
      <c r="D72" s="39"/>
      <c r="E72" s="39"/>
      <c r="H72" s="46" t="s">
        <v>89</v>
      </c>
      <c r="I72" s="46"/>
      <c r="J72" s="75">
        <f>NPV($B$2,J74:J86)</f>
        <v>0</v>
      </c>
      <c r="K72" s="39"/>
      <c r="L72" s="39"/>
      <c r="O72" s="46" t="s">
        <v>20</v>
      </c>
      <c r="P72" s="46"/>
      <c r="Q72" s="75">
        <f>NPV($B$2,Q74:Q86)</f>
        <v>0</v>
      </c>
      <c r="R72" s="39"/>
      <c r="S72" s="39"/>
      <c r="V72" s="46" t="s">
        <v>21</v>
      </c>
      <c r="W72" s="46"/>
      <c r="X72" s="75">
        <f>NPV($B$2,X74:X86)</f>
        <v>0</v>
      </c>
      <c r="Y72" s="39"/>
      <c r="Z72" s="39"/>
    </row>
    <row r="73" spans="1:27" s="61" customFormat="1" x14ac:dyDescent="0.25">
      <c r="A73" s="13" t="s">
        <v>0</v>
      </c>
      <c r="B73" s="13" t="s">
        <v>1</v>
      </c>
      <c r="C73" s="13" t="s">
        <v>4</v>
      </c>
      <c r="D73" s="29"/>
      <c r="E73" s="65"/>
      <c r="F73" s="63"/>
      <c r="H73" s="13" t="s">
        <v>0</v>
      </c>
      <c r="I73" s="13" t="s">
        <v>1</v>
      </c>
      <c r="J73" s="13" t="s">
        <v>4</v>
      </c>
      <c r="K73" s="29"/>
      <c r="L73" s="65"/>
      <c r="M73" s="63"/>
      <c r="O73" s="13" t="s">
        <v>0</v>
      </c>
      <c r="P73" s="13" t="s">
        <v>1</v>
      </c>
      <c r="Q73" s="13" t="s">
        <v>4</v>
      </c>
      <c r="R73" s="29"/>
      <c r="S73" s="65"/>
      <c r="T73" s="63"/>
      <c r="V73" s="13" t="s">
        <v>0</v>
      </c>
      <c r="W73" s="13" t="s">
        <v>1</v>
      </c>
      <c r="X73" s="13" t="s">
        <v>4</v>
      </c>
      <c r="Y73" s="29"/>
      <c r="Z73" s="65"/>
      <c r="AA73" s="63"/>
    </row>
    <row r="74" spans="1:27" s="61" customFormat="1" x14ac:dyDescent="0.25">
      <c r="A74" s="94" t="s">
        <v>10</v>
      </c>
      <c r="B74" s="53">
        <v>2020</v>
      </c>
      <c r="C74" s="2">
        <v>0</v>
      </c>
      <c r="D74" s="4"/>
      <c r="E74" s="4"/>
      <c r="F74" s="66"/>
      <c r="H74" s="94" t="s">
        <v>10</v>
      </c>
      <c r="I74" s="53">
        <v>2020</v>
      </c>
      <c r="J74" s="2">
        <v>0</v>
      </c>
      <c r="K74" s="4"/>
      <c r="L74" s="4"/>
      <c r="M74" s="66"/>
      <c r="O74" s="94" t="s">
        <v>10</v>
      </c>
      <c r="P74" s="53">
        <v>2020</v>
      </c>
      <c r="Q74" s="2">
        <v>0</v>
      </c>
      <c r="R74" s="4"/>
      <c r="S74" s="4"/>
      <c r="T74" s="66"/>
      <c r="V74" s="94" t="s">
        <v>10</v>
      </c>
      <c r="W74" s="53">
        <v>2020</v>
      </c>
      <c r="X74" s="2">
        <v>0</v>
      </c>
      <c r="Y74" s="4"/>
      <c r="Z74" s="4"/>
      <c r="AA74" s="66"/>
    </row>
    <row r="75" spans="1:27" s="61" customFormat="1" x14ac:dyDescent="0.25">
      <c r="A75" s="94"/>
      <c r="B75" s="53">
        <v>2021</v>
      </c>
      <c r="C75" s="2">
        <v>0</v>
      </c>
      <c r="D75" s="4"/>
      <c r="E75" s="4"/>
      <c r="F75" s="48"/>
      <c r="H75" s="94"/>
      <c r="I75" s="53">
        <v>2021</v>
      </c>
      <c r="J75" s="2">
        <v>0</v>
      </c>
      <c r="K75" s="4"/>
      <c r="L75" s="4"/>
      <c r="M75" s="48"/>
      <c r="O75" s="94"/>
      <c r="P75" s="53">
        <v>2021</v>
      </c>
      <c r="Q75" s="2">
        <v>0</v>
      </c>
      <c r="R75" s="4"/>
      <c r="S75" s="4"/>
      <c r="T75" s="48"/>
      <c r="V75" s="94"/>
      <c r="W75" s="53">
        <v>2021</v>
      </c>
      <c r="X75" s="2">
        <v>0</v>
      </c>
      <c r="Y75" s="4"/>
      <c r="Z75" s="4"/>
      <c r="AA75" s="48"/>
    </row>
    <row r="76" spans="1:27" s="61" customFormat="1" x14ac:dyDescent="0.25">
      <c r="A76" s="94"/>
      <c r="B76" s="53">
        <v>2022</v>
      </c>
      <c r="C76" s="2">
        <v>0</v>
      </c>
      <c r="D76" s="4"/>
      <c r="E76" s="4"/>
      <c r="F76" s="48"/>
      <c r="H76" s="94"/>
      <c r="I76" s="53">
        <v>2022</v>
      </c>
      <c r="J76" s="2">
        <v>0</v>
      </c>
      <c r="K76" s="4"/>
      <c r="L76" s="4"/>
      <c r="M76" s="48"/>
      <c r="O76" s="94"/>
      <c r="P76" s="53">
        <v>2022</v>
      </c>
      <c r="Q76" s="2">
        <v>0</v>
      </c>
      <c r="R76" s="4"/>
      <c r="S76" s="4"/>
      <c r="T76" s="48"/>
      <c r="V76" s="94"/>
      <c r="W76" s="53">
        <v>2022</v>
      </c>
      <c r="X76" s="2">
        <v>0</v>
      </c>
      <c r="Y76" s="4"/>
      <c r="Z76" s="4"/>
      <c r="AA76" s="48"/>
    </row>
    <row r="77" spans="1:27" s="61" customFormat="1" x14ac:dyDescent="0.25">
      <c r="A77" s="94"/>
      <c r="B77" s="53">
        <v>2023</v>
      </c>
      <c r="C77" s="2">
        <v>0</v>
      </c>
      <c r="D77" s="4"/>
      <c r="E77" s="4"/>
      <c r="F77" s="64"/>
      <c r="H77" s="94"/>
      <c r="I77" s="53">
        <v>2023</v>
      </c>
      <c r="J77" s="2">
        <v>0</v>
      </c>
      <c r="K77" s="4"/>
      <c r="L77" s="4"/>
      <c r="M77" s="64"/>
      <c r="O77" s="94"/>
      <c r="P77" s="53">
        <v>2023</v>
      </c>
      <c r="Q77" s="2">
        <v>0</v>
      </c>
      <c r="R77" s="4"/>
      <c r="S77" s="4"/>
      <c r="T77" s="64"/>
      <c r="V77" s="94"/>
      <c r="W77" s="53">
        <v>2023</v>
      </c>
      <c r="X77" s="2">
        <v>0</v>
      </c>
      <c r="Y77" s="4"/>
      <c r="Z77" s="4"/>
      <c r="AA77" s="64"/>
    </row>
    <row r="78" spans="1:27" s="61" customFormat="1" x14ac:dyDescent="0.25">
      <c r="A78" s="94"/>
      <c r="B78" s="53">
        <v>2024</v>
      </c>
      <c r="C78" s="2">
        <v>0</v>
      </c>
      <c r="D78" s="4"/>
      <c r="E78" s="4"/>
      <c r="H78" s="94"/>
      <c r="I78" s="53">
        <v>2024</v>
      </c>
      <c r="J78" s="2">
        <v>0</v>
      </c>
      <c r="K78" s="4"/>
      <c r="L78" s="4"/>
      <c r="O78" s="94"/>
      <c r="P78" s="53">
        <v>2024</v>
      </c>
      <c r="Q78" s="2">
        <v>0</v>
      </c>
      <c r="R78" s="4"/>
      <c r="S78" s="4"/>
      <c r="V78" s="94"/>
      <c r="W78" s="53">
        <v>2024</v>
      </c>
      <c r="X78" s="2">
        <v>0</v>
      </c>
      <c r="Y78" s="4"/>
      <c r="Z78" s="4"/>
    </row>
    <row r="79" spans="1:27" s="61" customFormat="1" x14ac:dyDescent="0.25">
      <c r="A79" s="94"/>
      <c r="B79" s="53">
        <v>2025</v>
      </c>
      <c r="C79" s="2">
        <v>0</v>
      </c>
      <c r="D79" s="4"/>
      <c r="E79" s="4"/>
      <c r="H79" s="94"/>
      <c r="I79" s="53">
        <v>2025</v>
      </c>
      <c r="J79" s="2">
        <v>0</v>
      </c>
      <c r="K79" s="4"/>
      <c r="L79" s="4"/>
      <c r="O79" s="94"/>
      <c r="P79" s="53">
        <v>2025</v>
      </c>
      <c r="Q79" s="2">
        <v>0</v>
      </c>
      <c r="R79" s="4"/>
      <c r="S79" s="4"/>
      <c r="V79" s="94"/>
      <c r="W79" s="53">
        <v>2025</v>
      </c>
      <c r="X79" s="2">
        <v>0</v>
      </c>
      <c r="Y79" s="4"/>
      <c r="Z79" s="4"/>
    </row>
    <row r="80" spans="1:27" s="61" customFormat="1" x14ac:dyDescent="0.25">
      <c r="A80" s="94"/>
      <c r="B80" s="53">
        <v>2026</v>
      </c>
      <c r="C80" s="2">
        <v>0</v>
      </c>
      <c r="D80" s="4"/>
      <c r="E80" s="4"/>
      <c r="H80" s="94"/>
      <c r="I80" s="53">
        <v>2026</v>
      </c>
      <c r="J80" s="2">
        <v>0</v>
      </c>
      <c r="K80" s="4"/>
      <c r="L80" s="4"/>
      <c r="O80" s="94"/>
      <c r="P80" s="53">
        <v>2026</v>
      </c>
      <c r="Q80" s="2">
        <v>0</v>
      </c>
      <c r="R80" s="4"/>
      <c r="S80" s="4"/>
      <c r="V80" s="94"/>
      <c r="W80" s="53">
        <v>2026</v>
      </c>
      <c r="X80" s="2">
        <v>0</v>
      </c>
      <c r="Y80" s="4"/>
      <c r="Z80" s="4"/>
    </row>
    <row r="81" spans="1:27" s="61" customFormat="1" x14ac:dyDescent="0.25">
      <c r="A81" s="94"/>
      <c r="B81" s="53">
        <v>2027</v>
      </c>
      <c r="C81" s="2">
        <v>0</v>
      </c>
      <c r="D81" s="4"/>
      <c r="E81" s="4"/>
      <c r="H81" s="94"/>
      <c r="I81" s="53">
        <v>2027</v>
      </c>
      <c r="J81" s="2">
        <v>0</v>
      </c>
      <c r="K81" s="4"/>
      <c r="L81" s="4"/>
      <c r="O81" s="94"/>
      <c r="P81" s="53">
        <v>2027</v>
      </c>
      <c r="Q81" s="2">
        <v>0</v>
      </c>
      <c r="R81" s="4"/>
      <c r="S81" s="4"/>
      <c r="V81" s="94"/>
      <c r="W81" s="53">
        <v>2027</v>
      </c>
      <c r="X81" s="2">
        <v>0</v>
      </c>
      <c r="Y81" s="4"/>
      <c r="Z81" s="4"/>
    </row>
    <row r="82" spans="1:27" s="61" customFormat="1" x14ac:dyDescent="0.25">
      <c r="A82" s="94"/>
      <c r="B82" s="53">
        <v>2028</v>
      </c>
      <c r="C82" s="2">
        <v>0</v>
      </c>
      <c r="D82" s="4"/>
      <c r="E82" s="4"/>
      <c r="H82" s="94"/>
      <c r="I82" s="53">
        <v>2028</v>
      </c>
      <c r="J82" s="2">
        <v>0</v>
      </c>
      <c r="K82" s="4"/>
      <c r="L82" s="4"/>
      <c r="O82" s="94"/>
      <c r="P82" s="53">
        <v>2028</v>
      </c>
      <c r="Q82" s="2">
        <v>0</v>
      </c>
      <c r="R82" s="4"/>
      <c r="S82" s="4"/>
      <c r="V82" s="94"/>
      <c r="W82" s="53">
        <v>2028</v>
      </c>
      <c r="X82" s="2">
        <v>0</v>
      </c>
      <c r="Y82" s="4"/>
      <c r="Z82" s="4"/>
    </row>
    <row r="83" spans="1:27" s="61" customFormat="1" x14ac:dyDescent="0.25">
      <c r="A83" s="94"/>
      <c r="B83" s="53">
        <v>2029</v>
      </c>
      <c r="C83" s="2">
        <v>0</v>
      </c>
      <c r="D83" s="4"/>
      <c r="E83" s="4"/>
      <c r="H83" s="94"/>
      <c r="I83" s="53">
        <v>2029</v>
      </c>
      <c r="J83" s="2">
        <v>0</v>
      </c>
      <c r="K83" s="4"/>
      <c r="L83" s="4"/>
      <c r="O83" s="94"/>
      <c r="P83" s="53">
        <v>2029</v>
      </c>
      <c r="Q83" s="2">
        <v>0</v>
      </c>
      <c r="R83" s="4"/>
      <c r="S83" s="4"/>
      <c r="V83" s="94"/>
      <c r="W83" s="53">
        <v>2029</v>
      </c>
      <c r="X83" s="2">
        <v>0</v>
      </c>
      <c r="Y83" s="4"/>
      <c r="Z83" s="4"/>
    </row>
    <row r="84" spans="1:27" s="61" customFormat="1" x14ac:dyDescent="0.25">
      <c r="A84" s="94"/>
      <c r="B84" s="53">
        <v>2030</v>
      </c>
      <c r="C84" s="2">
        <v>0</v>
      </c>
      <c r="D84" s="4"/>
      <c r="E84" s="4"/>
      <c r="H84" s="94"/>
      <c r="I84" s="53">
        <v>2030</v>
      </c>
      <c r="J84" s="2">
        <v>0</v>
      </c>
      <c r="K84" s="4"/>
      <c r="L84" s="4"/>
      <c r="O84" s="94"/>
      <c r="P84" s="53">
        <v>2030</v>
      </c>
      <c r="Q84" s="2">
        <v>0</v>
      </c>
      <c r="R84" s="4"/>
      <c r="S84" s="4"/>
      <c r="V84" s="94"/>
      <c r="W84" s="53">
        <v>2030</v>
      </c>
      <c r="X84" s="2">
        <v>0</v>
      </c>
      <c r="Y84" s="4"/>
      <c r="Z84" s="4"/>
    </row>
    <row r="85" spans="1:27" s="61" customFormat="1" x14ac:dyDescent="0.25">
      <c r="A85" s="94"/>
      <c r="B85" s="53">
        <v>2031</v>
      </c>
      <c r="C85" s="2">
        <v>0</v>
      </c>
      <c r="D85" s="4"/>
      <c r="E85" s="4"/>
      <c r="H85" s="94"/>
      <c r="I85" s="53">
        <v>2031</v>
      </c>
      <c r="J85" s="2">
        <v>0</v>
      </c>
      <c r="K85" s="4"/>
      <c r="L85" s="4"/>
      <c r="O85" s="94"/>
      <c r="P85" s="53">
        <v>2031</v>
      </c>
      <c r="Q85" s="2">
        <v>0</v>
      </c>
      <c r="R85" s="4"/>
      <c r="S85" s="4"/>
      <c r="V85" s="94"/>
      <c r="W85" s="53">
        <v>2031</v>
      </c>
      <c r="X85" s="2">
        <v>0</v>
      </c>
      <c r="Y85" s="4"/>
      <c r="Z85" s="4"/>
    </row>
    <row r="86" spans="1:27" s="61" customFormat="1" x14ac:dyDescent="0.25">
      <c r="A86" s="94"/>
      <c r="B86" s="53">
        <v>2032</v>
      </c>
      <c r="C86" s="2">
        <v>0</v>
      </c>
      <c r="D86" s="4"/>
      <c r="E86" s="4"/>
      <c r="H86" s="94"/>
      <c r="I86" s="53">
        <v>2032</v>
      </c>
      <c r="J86" s="2">
        <v>0</v>
      </c>
      <c r="K86" s="4"/>
      <c r="L86" s="4"/>
      <c r="O86" s="94"/>
      <c r="P86" s="53">
        <v>2032</v>
      </c>
      <c r="Q86" s="2">
        <v>0</v>
      </c>
      <c r="R86" s="4"/>
      <c r="S86" s="4"/>
      <c r="V86" s="94"/>
      <c r="W86" s="53">
        <v>2032</v>
      </c>
      <c r="X86" s="2">
        <v>0</v>
      </c>
      <c r="Y86" s="4"/>
      <c r="Z86" s="4"/>
    </row>
    <row r="87" spans="1:27" s="61" customFormat="1" x14ac:dyDescent="0.25">
      <c r="A87" s="41"/>
      <c r="B87" s="65"/>
      <c r="C87" s="4"/>
      <c r="D87" s="4"/>
      <c r="E87" s="4"/>
      <c r="H87" s="41"/>
      <c r="I87" s="65"/>
      <c r="J87" s="4"/>
      <c r="K87" s="4"/>
      <c r="L87" s="4"/>
      <c r="O87" s="41"/>
      <c r="P87" s="65"/>
      <c r="Q87" s="4"/>
      <c r="R87" s="4"/>
      <c r="S87" s="4"/>
      <c r="V87" s="41"/>
      <c r="W87" s="65"/>
      <c r="X87" s="4"/>
      <c r="Y87" s="4"/>
      <c r="Z87" s="4"/>
    </row>
    <row r="88" spans="1:27" x14ac:dyDescent="0.25">
      <c r="A88" s="45" t="s">
        <v>25</v>
      </c>
    </row>
    <row r="89" spans="1:27" x14ac:dyDescent="0.25">
      <c r="A89" s="46" t="s">
        <v>9</v>
      </c>
      <c r="B89" s="46"/>
      <c r="C89" s="46"/>
      <c r="D89" s="46"/>
      <c r="E89" s="46"/>
      <c r="F89" s="43"/>
      <c r="H89" s="46" t="s">
        <v>89</v>
      </c>
      <c r="I89" s="46"/>
      <c r="J89" s="46"/>
      <c r="K89" s="46"/>
      <c r="L89" s="46"/>
      <c r="M89" s="43"/>
      <c r="N89" s="44"/>
      <c r="O89" s="46" t="s">
        <v>20</v>
      </c>
      <c r="P89" s="46"/>
      <c r="Q89" s="46"/>
      <c r="R89" s="46"/>
      <c r="S89" s="46"/>
      <c r="T89" s="43"/>
      <c r="V89" s="46" t="s">
        <v>21</v>
      </c>
      <c r="W89" s="46"/>
      <c r="X89" s="46"/>
      <c r="Y89" s="46"/>
      <c r="Z89" s="46"/>
      <c r="AA89" s="43"/>
    </row>
    <row r="90" spans="1:27" x14ac:dyDescent="0.25">
      <c r="A90" s="43" t="s">
        <v>1</v>
      </c>
      <c r="B90" s="46" t="s">
        <v>2</v>
      </c>
      <c r="C90" s="46" t="s">
        <v>22</v>
      </c>
      <c r="D90" s="46" t="s">
        <v>3</v>
      </c>
      <c r="E90" s="46" t="s">
        <v>23</v>
      </c>
      <c r="F90" s="46" t="s">
        <v>24</v>
      </c>
      <c r="H90" s="43" t="s">
        <v>1</v>
      </c>
      <c r="I90" s="46" t="s">
        <v>2</v>
      </c>
      <c r="J90" s="46" t="s">
        <v>22</v>
      </c>
      <c r="K90" s="46" t="s">
        <v>3</v>
      </c>
      <c r="L90" s="46" t="s">
        <v>23</v>
      </c>
      <c r="M90" s="46" t="s">
        <v>24</v>
      </c>
      <c r="N90" s="39"/>
      <c r="O90" s="43" t="s">
        <v>1</v>
      </c>
      <c r="P90" s="46" t="s">
        <v>2</v>
      </c>
      <c r="Q90" s="46" t="s">
        <v>22</v>
      </c>
      <c r="R90" s="46" t="s">
        <v>3</v>
      </c>
      <c r="S90" s="46" t="s">
        <v>23</v>
      </c>
      <c r="T90" s="46" t="s">
        <v>24</v>
      </c>
      <c r="V90" s="43" t="s">
        <v>1</v>
      </c>
      <c r="W90" s="46" t="s">
        <v>2</v>
      </c>
      <c r="X90" s="46" t="s">
        <v>22</v>
      </c>
      <c r="Y90" s="46" t="s">
        <v>3</v>
      </c>
      <c r="Z90" s="46" t="s">
        <v>23</v>
      </c>
      <c r="AA90" s="46" t="s">
        <v>24</v>
      </c>
    </row>
    <row r="91" spans="1:27" x14ac:dyDescent="0.25">
      <c r="A91" s="43">
        <v>2020</v>
      </c>
      <c r="B91" s="78">
        <v>498.806606936967</v>
      </c>
      <c r="C91" s="78">
        <v>222.7889417828992</v>
      </c>
      <c r="D91" s="78">
        <v>1520.4278784996714</v>
      </c>
      <c r="E91" s="78">
        <v>1.8663104737788672</v>
      </c>
      <c r="F91" s="78">
        <v>897.56850060558645</v>
      </c>
      <c r="H91" s="43">
        <v>2020</v>
      </c>
      <c r="I91" s="46">
        <v>-116.57282465044409</v>
      </c>
      <c r="J91" s="46">
        <v>817.92914717597887</v>
      </c>
      <c r="K91" s="46">
        <v>1606.2733714549686</v>
      </c>
      <c r="L91" s="46">
        <v>0.37967165289592231</v>
      </c>
      <c r="M91" s="46">
        <v>868.40259800484637</v>
      </c>
      <c r="N91" s="39"/>
      <c r="O91" s="43">
        <v>2020</v>
      </c>
      <c r="P91" s="46">
        <v>518.32386833103374</v>
      </c>
      <c r="Q91" s="46">
        <v>917.01964992843568</v>
      </c>
      <c r="R91" s="46">
        <v>1004.6067579673836</v>
      </c>
      <c r="S91" s="46">
        <v>2.0153142861527158</v>
      </c>
      <c r="T91" s="46">
        <v>55.926040155172814</v>
      </c>
      <c r="V91" s="43">
        <v>2020</v>
      </c>
      <c r="W91" s="46">
        <v>1094.8846673537046</v>
      </c>
      <c r="X91" s="46">
        <v>-203.48764987196773</v>
      </c>
      <c r="Y91" s="46">
        <v>2204.7137060401728</v>
      </c>
      <c r="Z91" s="46">
        <v>-15.034225341543788</v>
      </c>
      <c r="AA91" s="46">
        <v>1030.2095006040181</v>
      </c>
    </row>
    <row r="92" spans="1:27" x14ac:dyDescent="0.25">
      <c r="A92" s="43">
        <v>2021</v>
      </c>
      <c r="B92" s="79">
        <v>1148.9314647731371</v>
      </c>
      <c r="C92" s="79">
        <v>193.83035461348481</v>
      </c>
      <c r="D92" s="79">
        <v>1409.4810481551685</v>
      </c>
      <c r="E92" s="79">
        <v>-2.6150278175555286</v>
      </c>
      <c r="F92" s="79">
        <v>593.15365675551584</v>
      </c>
      <c r="H92" s="43">
        <v>2021</v>
      </c>
      <c r="I92" s="53">
        <v>910.083469259087</v>
      </c>
      <c r="J92" s="53">
        <v>690.91297062952071</v>
      </c>
      <c r="K92" s="53">
        <v>1465.1536800024332</v>
      </c>
      <c r="L92" s="53">
        <v>-8.5293883552367333E-2</v>
      </c>
      <c r="M92" s="53">
        <v>578.04123944148887</v>
      </c>
      <c r="N92" s="44"/>
      <c r="O92" s="43">
        <v>2021</v>
      </c>
      <c r="P92" s="53">
        <v>952.62544480781071</v>
      </c>
      <c r="Q92" s="53">
        <v>395.79823700524867</v>
      </c>
      <c r="R92" s="53">
        <v>752.66489692905452</v>
      </c>
      <c r="S92" s="53">
        <v>0.58981499687070027</v>
      </c>
      <c r="T92" s="53">
        <v>215.67125499568647</v>
      </c>
      <c r="V92" s="43">
        <v>2021</v>
      </c>
      <c r="W92" s="53">
        <v>705.7006945386529</v>
      </c>
      <c r="X92" s="53">
        <v>994.92564313160256</v>
      </c>
      <c r="Y92" s="53">
        <v>1951.2077150968835</v>
      </c>
      <c r="Z92" s="53">
        <v>-15.018464206637873</v>
      </c>
      <c r="AA92" s="53">
        <v>780.75170238828287</v>
      </c>
    </row>
    <row r="93" spans="1:27" x14ac:dyDescent="0.25">
      <c r="A93" s="43">
        <v>2022</v>
      </c>
      <c r="B93" s="79">
        <v>884.793704230804</v>
      </c>
      <c r="C93" s="79">
        <v>728.73470017570071</v>
      </c>
      <c r="D93" s="79">
        <v>1015.4695610564668</v>
      </c>
      <c r="E93" s="79">
        <v>-1.3487675235446659</v>
      </c>
      <c r="F93" s="79">
        <v>1043.8021447875653</v>
      </c>
      <c r="H93" s="43">
        <v>2022</v>
      </c>
      <c r="I93" s="53">
        <v>1287.4353148066439</v>
      </c>
      <c r="J93" s="53">
        <v>359.53988727414981</v>
      </c>
      <c r="K93" s="53">
        <v>699.15486249903915</v>
      </c>
      <c r="L93" s="53">
        <v>1.0803518572574831</v>
      </c>
      <c r="M93" s="53">
        <v>1102.846598964883</v>
      </c>
      <c r="N93" s="39"/>
      <c r="O93" s="43">
        <v>2022</v>
      </c>
      <c r="P93" s="53">
        <v>1189.5998305215035</v>
      </c>
      <c r="Q93" s="53">
        <v>558.29570115706883</v>
      </c>
      <c r="R93" s="53">
        <v>542.48193045030348</v>
      </c>
      <c r="S93" s="53">
        <v>-2.9851698516722536</v>
      </c>
      <c r="T93" s="53">
        <v>58.27434860059293</v>
      </c>
      <c r="V93" s="43">
        <v>2022</v>
      </c>
      <c r="W93" s="53">
        <v>410.12081622029655</v>
      </c>
      <c r="X93" s="53">
        <v>479.73113784659654</v>
      </c>
      <c r="Y93" s="53">
        <v>2222.6198861911544</v>
      </c>
      <c r="Z93" s="53">
        <v>184.07748748037557</v>
      </c>
      <c r="AA93" s="53">
        <v>1401.8772886288352</v>
      </c>
    </row>
    <row r="94" spans="1:27" x14ac:dyDescent="0.25">
      <c r="A94" s="43">
        <v>2023</v>
      </c>
      <c r="B94" s="79">
        <v>730.26337638241239</v>
      </c>
      <c r="C94" s="79">
        <v>1320.2181672714651</v>
      </c>
      <c r="D94" s="79">
        <v>1140.0017574074445</v>
      </c>
      <c r="E94" s="79">
        <v>-1.4878621447060141</v>
      </c>
      <c r="F94" s="79">
        <v>1007.2507991822786</v>
      </c>
      <c r="H94" s="43">
        <v>2023</v>
      </c>
      <c r="I94" s="53">
        <v>1521.754886826966</v>
      </c>
      <c r="J94" s="53">
        <v>1262.8717396208085</v>
      </c>
      <c r="K94" s="53">
        <v>1548.5462010354968</v>
      </c>
      <c r="L94" s="53">
        <v>3.3895058887064806</v>
      </c>
      <c r="M94" s="53">
        <v>1027.571838981472</v>
      </c>
      <c r="N94" s="39"/>
      <c r="O94" s="43">
        <v>2023</v>
      </c>
      <c r="P94" s="53">
        <v>551.48074773338158</v>
      </c>
      <c r="Q94" s="53">
        <v>1237.5745008374797</v>
      </c>
      <c r="R94" s="53">
        <v>477.89181200787425</v>
      </c>
      <c r="S94" s="53">
        <v>-4.2502125222963514</v>
      </c>
      <c r="T94" s="53">
        <v>-107.46085664385464</v>
      </c>
      <c r="V94" s="43">
        <v>2023</v>
      </c>
      <c r="W94" s="53">
        <v>3145.1823842602316</v>
      </c>
      <c r="X94" s="53">
        <v>341.08777932752855</v>
      </c>
      <c r="Y94" s="53">
        <v>2380.3940537789604</v>
      </c>
      <c r="Z94" s="53">
        <v>-1287.2246132141299</v>
      </c>
      <c r="AA94" s="53">
        <v>1019.9061325177317</v>
      </c>
    </row>
    <row r="95" spans="1:27" x14ac:dyDescent="0.25">
      <c r="A95" s="43">
        <v>2024</v>
      </c>
      <c r="B95" s="79">
        <v>1126.186267851619</v>
      </c>
      <c r="C95" s="79">
        <v>553.39956270856783</v>
      </c>
      <c r="D95" s="79">
        <v>986.25347016943851</v>
      </c>
      <c r="E95" s="79">
        <v>-3.337270800024271</v>
      </c>
      <c r="F95" s="79">
        <v>390.60254111792892</v>
      </c>
      <c r="H95" s="43">
        <v>2024</v>
      </c>
      <c r="I95" s="53">
        <v>1410.7688601277769</v>
      </c>
      <c r="J95" s="53">
        <v>655.6667908935342</v>
      </c>
      <c r="K95" s="53">
        <v>932.47634551051306</v>
      </c>
      <c r="L95" s="53">
        <v>-0.53398281942645553</v>
      </c>
      <c r="M95" s="53">
        <v>188.75438388698967</v>
      </c>
      <c r="N95" s="39"/>
      <c r="O95" s="43">
        <v>2024</v>
      </c>
      <c r="P95" s="53">
        <v>56.372874598717317</v>
      </c>
      <c r="Q95" s="53">
        <v>1539.5570960217156</v>
      </c>
      <c r="R95" s="53">
        <v>151.99561331298901</v>
      </c>
      <c r="S95" s="53">
        <v>26.016991383155982</v>
      </c>
      <c r="T95" s="53">
        <v>-183.94892173266271</v>
      </c>
      <c r="V95" s="43">
        <v>2024</v>
      </c>
      <c r="W95" s="53">
        <v>1957.1429972446058</v>
      </c>
      <c r="X95" s="53">
        <v>1597.0724555323832</v>
      </c>
      <c r="Y95" s="53">
        <v>1980.7855156813748</v>
      </c>
      <c r="Z95" s="53">
        <v>25.182706843806955</v>
      </c>
      <c r="AA95" s="53">
        <v>872.54721514537232</v>
      </c>
    </row>
    <row r="96" spans="1:27" x14ac:dyDescent="0.25">
      <c r="A96" s="43">
        <v>2025</v>
      </c>
      <c r="B96" s="79">
        <v>1646.6893637056928</v>
      </c>
      <c r="C96" s="79">
        <v>1299.2565995957702</v>
      </c>
      <c r="D96" s="79">
        <v>815.90234694397077</v>
      </c>
      <c r="E96" s="79">
        <v>21.374794581759488</v>
      </c>
      <c r="F96" s="79">
        <v>98.432037691760343</v>
      </c>
      <c r="H96" s="43">
        <v>2025</v>
      </c>
      <c r="I96" s="53">
        <v>1945.652140593389</v>
      </c>
      <c r="J96" s="53">
        <v>1333.0880747761112</v>
      </c>
      <c r="K96" s="53">
        <v>844.34670129662118</v>
      </c>
      <c r="L96" s="53">
        <v>0.60474730250280118</v>
      </c>
      <c r="M96" s="53">
        <v>222.17742660216754</v>
      </c>
      <c r="N96" s="39"/>
      <c r="O96" s="43">
        <v>2025</v>
      </c>
      <c r="P96" s="53">
        <v>788.89936578180641</v>
      </c>
      <c r="Q96" s="53">
        <v>650.03753341583069</v>
      </c>
      <c r="R96" s="53">
        <v>242.52773909564894</v>
      </c>
      <c r="S96" s="53">
        <v>-2.1594960752190673</v>
      </c>
      <c r="T96" s="53">
        <v>79.727165375254117</v>
      </c>
      <c r="V96" s="43">
        <v>2025</v>
      </c>
      <c r="W96" s="53">
        <v>4208.0929156858474</v>
      </c>
      <c r="X96" s="53">
        <v>564.03295206162147</v>
      </c>
      <c r="Y96" s="53">
        <v>-226.09485746803693</v>
      </c>
      <c r="Z96" s="53">
        <v>-1428.6368403910601</v>
      </c>
      <c r="AA96" s="53">
        <v>1455.8074895411846</v>
      </c>
    </row>
    <row r="97" spans="1:27" x14ac:dyDescent="0.25">
      <c r="A97" s="43">
        <v>2026</v>
      </c>
      <c r="B97" s="79">
        <v>1117.4722605564166</v>
      </c>
      <c r="C97" s="79">
        <v>1548.4723666536156</v>
      </c>
      <c r="D97" s="79">
        <v>659.08723363455647</v>
      </c>
      <c r="E97" s="79">
        <v>13.071018138238287</v>
      </c>
      <c r="F97" s="79">
        <v>294.60532822075766</v>
      </c>
      <c r="H97" s="43">
        <v>2026</v>
      </c>
      <c r="I97" s="53">
        <v>952.49621698446572</v>
      </c>
      <c r="J97" s="53">
        <v>1363.5152174942195</v>
      </c>
      <c r="K97" s="53">
        <v>736.68964218895417</v>
      </c>
      <c r="L97" s="53">
        <v>2.2250532220641617</v>
      </c>
      <c r="M97" s="53">
        <v>904.92590372497216</v>
      </c>
      <c r="N97" s="39"/>
      <c r="O97" s="43">
        <v>2026</v>
      </c>
      <c r="P97" s="53">
        <v>733.79600381909404</v>
      </c>
      <c r="Q97" s="53">
        <v>944.72198050410952</v>
      </c>
      <c r="R97" s="53">
        <v>163.31296894987827</v>
      </c>
      <c r="S97" s="53">
        <v>0.8505893535038922</v>
      </c>
      <c r="T97" s="53">
        <v>43.766788907407317</v>
      </c>
      <c r="V97" s="43">
        <v>2026</v>
      </c>
      <c r="W97" s="53">
        <v>3052.4401697076391</v>
      </c>
      <c r="X97" s="53">
        <v>-595.90647046919912</v>
      </c>
      <c r="Y97" s="53">
        <v>1098.2071255166957</v>
      </c>
      <c r="Z97" s="53">
        <v>440.24371067871107</v>
      </c>
      <c r="AA97" s="53">
        <v>1932.5102230039774</v>
      </c>
    </row>
    <row r="98" spans="1:27" x14ac:dyDescent="0.25">
      <c r="A98" s="43">
        <v>2027</v>
      </c>
      <c r="B98" s="79">
        <v>1715.1356868706644</v>
      </c>
      <c r="C98" s="79">
        <v>1496.2423103090841</v>
      </c>
      <c r="D98" s="79">
        <v>208.32249335637607</v>
      </c>
      <c r="E98" s="79">
        <v>-1.446080510635511</v>
      </c>
      <c r="F98" s="79">
        <v>369.86769089772133</v>
      </c>
      <c r="H98" s="43">
        <v>2027</v>
      </c>
      <c r="I98" s="53">
        <v>1606.016275633825</v>
      </c>
      <c r="J98" s="53">
        <v>1086.8364802228753</v>
      </c>
      <c r="K98" s="53">
        <v>385.42079522635686</v>
      </c>
      <c r="L98" s="53">
        <v>-5.7980939049011795</v>
      </c>
      <c r="M98" s="53">
        <v>372.59231437329436</v>
      </c>
      <c r="N98" s="39"/>
      <c r="O98" s="43">
        <v>2027</v>
      </c>
      <c r="P98" s="53">
        <v>1156.9257536572404</v>
      </c>
      <c r="Q98" s="53">
        <v>713.05808875674848</v>
      </c>
      <c r="R98" s="53">
        <v>235.1784660759804</v>
      </c>
      <c r="S98" s="53">
        <v>-6.7247877744230209</v>
      </c>
      <c r="T98" s="53">
        <v>56.283686739741825</v>
      </c>
      <c r="V98" s="43">
        <v>2027</v>
      </c>
      <c r="W98" s="53">
        <v>-1022.9829331256915</v>
      </c>
      <c r="X98" s="53">
        <v>2993.4359619768802</v>
      </c>
      <c r="Y98" s="53">
        <v>3279.170745884825</v>
      </c>
      <c r="Z98" s="53">
        <v>308.8891922091716</v>
      </c>
      <c r="AA98" s="53">
        <v>2209.986355204077</v>
      </c>
    </row>
    <row r="99" spans="1:27" x14ac:dyDescent="0.25">
      <c r="A99" s="43">
        <v>2028</v>
      </c>
      <c r="B99" s="79">
        <v>1019.5388575051911</v>
      </c>
      <c r="C99" s="79">
        <v>1333.9966948912479</v>
      </c>
      <c r="D99" s="79">
        <v>414.84795857128483</v>
      </c>
      <c r="E99" s="79">
        <v>-1.0238883293641265</v>
      </c>
      <c r="F99" s="79">
        <v>672.98751922405791</v>
      </c>
      <c r="H99" s="43">
        <v>2028</v>
      </c>
      <c r="I99" s="53">
        <v>1442.5999402776361</v>
      </c>
      <c r="J99" s="53">
        <v>708.67938809213229</v>
      </c>
      <c r="K99" s="53">
        <v>491.54745751086739</v>
      </c>
      <c r="L99" s="53">
        <v>8.855210440378869E-2</v>
      </c>
      <c r="M99" s="53">
        <v>950.51178314682329</v>
      </c>
      <c r="N99" s="39"/>
      <c r="O99" s="43">
        <v>2028</v>
      </c>
      <c r="P99" s="53">
        <v>1027.967044922756</v>
      </c>
      <c r="Q99" s="53">
        <v>1026.8919660773827</v>
      </c>
      <c r="R99" s="53">
        <v>143.90723101675212</v>
      </c>
      <c r="S99" s="53">
        <v>0.11961193386378</v>
      </c>
      <c r="T99" s="53">
        <v>-16.685380441369489</v>
      </c>
      <c r="V99" s="43">
        <v>2028</v>
      </c>
      <c r="W99" s="53">
        <v>-993.05730093433522</v>
      </c>
      <c r="X99" s="53">
        <v>243.73987357830629</v>
      </c>
      <c r="Y99" s="53">
        <v>1224.9477916017058</v>
      </c>
      <c r="Z99" s="53">
        <v>1866.0692318113288</v>
      </c>
      <c r="AA99" s="53">
        <v>5147.1058023278601</v>
      </c>
    </row>
    <row r="100" spans="1:27" x14ac:dyDescent="0.25">
      <c r="A100" s="43">
        <v>2029</v>
      </c>
      <c r="B100" s="79">
        <v>2535.7358870597091</v>
      </c>
      <c r="C100" s="79">
        <v>1056.471759071108</v>
      </c>
      <c r="D100" s="79">
        <v>383.23886193025101</v>
      </c>
      <c r="E100" s="79">
        <v>-7.8769767470876104</v>
      </c>
      <c r="F100" s="79">
        <v>646.11625917966012</v>
      </c>
      <c r="H100" s="43">
        <v>2029</v>
      </c>
      <c r="I100" s="53">
        <v>1585.9069457675796</v>
      </c>
      <c r="J100" s="53">
        <v>924.2426920584403</v>
      </c>
      <c r="K100" s="53">
        <v>673.17484688894183</v>
      </c>
      <c r="L100" s="53">
        <v>11.390999796210963</v>
      </c>
      <c r="M100" s="53">
        <v>838.54421215783805</v>
      </c>
      <c r="N100" s="39"/>
      <c r="O100" s="43">
        <v>2029</v>
      </c>
      <c r="P100" s="53">
        <v>1052.3531106017763</v>
      </c>
      <c r="Q100" s="53">
        <v>1356.3252463547979</v>
      </c>
      <c r="R100" s="53">
        <v>61.173211976172752</v>
      </c>
      <c r="S100" s="53">
        <v>-6.1321969331693253</v>
      </c>
      <c r="T100" s="53">
        <v>-68.900306322029792</v>
      </c>
      <c r="V100" s="43">
        <v>2029</v>
      </c>
      <c r="W100" s="53">
        <v>-3035.7247727541253</v>
      </c>
      <c r="X100" s="53">
        <v>-18.432195943314582</v>
      </c>
      <c r="Y100" s="53">
        <v>605.74537211784627</v>
      </c>
      <c r="Z100" s="53">
        <v>412.23323482705746</v>
      </c>
      <c r="AA100" s="53">
        <v>8932.9767624621745</v>
      </c>
    </row>
    <row r="101" spans="1:27" x14ac:dyDescent="0.25">
      <c r="A101" s="43">
        <v>2030</v>
      </c>
      <c r="B101" s="79">
        <v>2863.4778882015962</v>
      </c>
      <c r="C101" s="79">
        <v>134.02926946687512</v>
      </c>
      <c r="D101" s="79">
        <v>892.23063442802959</v>
      </c>
      <c r="E101" s="79">
        <v>12.608946225511318</v>
      </c>
      <c r="F101" s="79">
        <v>216.25899343227502</v>
      </c>
      <c r="H101" s="43">
        <v>2030</v>
      </c>
      <c r="I101" s="53">
        <v>2392.8470347125549</v>
      </c>
      <c r="J101" s="53">
        <v>1227.8850200183224</v>
      </c>
      <c r="K101" s="53">
        <v>858.71565214901057</v>
      </c>
      <c r="L101" s="53">
        <v>4.7598921619428438</v>
      </c>
      <c r="M101" s="53">
        <v>755.84833624470048</v>
      </c>
      <c r="N101" s="39"/>
      <c r="O101" s="43">
        <v>2030</v>
      </c>
      <c r="P101" s="53">
        <v>961.07401178148575</v>
      </c>
      <c r="Q101" s="53">
        <v>624.62491684535053</v>
      </c>
      <c r="R101" s="53">
        <v>76.467013208144635</v>
      </c>
      <c r="S101" s="53">
        <v>-1.6485133496316848</v>
      </c>
      <c r="T101" s="53">
        <v>94.394700429169461</v>
      </c>
      <c r="V101" s="43">
        <v>2030</v>
      </c>
      <c r="W101" s="53">
        <v>-753.63210208900273</v>
      </c>
      <c r="X101" s="53">
        <v>1046.8752988250926</v>
      </c>
      <c r="Y101" s="53">
        <v>1214.2489580846741</v>
      </c>
      <c r="Z101" s="53">
        <v>667.20790640832274</v>
      </c>
      <c r="AA101" s="53">
        <v>5215.6328502028482</v>
      </c>
    </row>
    <row r="102" spans="1:27" x14ac:dyDescent="0.25">
      <c r="A102" s="43">
        <v>2031</v>
      </c>
      <c r="B102" s="79">
        <v>2395.166145113064</v>
      </c>
      <c r="C102" s="79">
        <v>2602.6067266610917</v>
      </c>
      <c r="D102" s="79">
        <v>1771.0163173696201</v>
      </c>
      <c r="E102" s="79">
        <v>18.310685928503517</v>
      </c>
      <c r="F102" s="79">
        <v>411.02019139245385</v>
      </c>
      <c r="H102" s="43">
        <v>2031</v>
      </c>
      <c r="I102" s="53">
        <v>2267.1882046898827</v>
      </c>
      <c r="J102" s="53">
        <v>2090.3739235533867</v>
      </c>
      <c r="K102" s="53">
        <v>1538.030706709309</v>
      </c>
      <c r="L102" s="53">
        <v>-2.0020878509894828</v>
      </c>
      <c r="M102" s="53">
        <v>751.92616381251719</v>
      </c>
      <c r="N102" s="39"/>
      <c r="O102" s="43">
        <v>2031</v>
      </c>
      <c r="P102" s="53">
        <v>538.04894070851151</v>
      </c>
      <c r="Q102" s="53">
        <v>-1090.7162833509501</v>
      </c>
      <c r="R102" s="53">
        <v>44.205492673539993</v>
      </c>
      <c r="S102" s="53">
        <v>-6.3852319818543037</v>
      </c>
      <c r="T102" s="53">
        <v>252.83755361143267</v>
      </c>
      <c r="V102" s="43">
        <v>2031</v>
      </c>
      <c r="W102" s="53">
        <v>-2467.2083830875345</v>
      </c>
      <c r="X102" s="53">
        <v>1064.5690276895184</v>
      </c>
      <c r="Y102" s="53">
        <v>551.20686143450439</v>
      </c>
      <c r="Z102" s="53">
        <v>-522.83580886948039</v>
      </c>
      <c r="AA102" s="53">
        <v>7193.1051332354546</v>
      </c>
    </row>
    <row r="103" spans="1:27" x14ac:dyDescent="0.25">
      <c r="A103" s="43">
        <v>2032</v>
      </c>
      <c r="B103" s="79">
        <v>3594.5316294906661</v>
      </c>
      <c r="C103" s="79">
        <v>1105.7822141740471</v>
      </c>
      <c r="D103" s="79">
        <v>824.38548650461598</v>
      </c>
      <c r="E103" s="79">
        <v>1.2072972394307726</v>
      </c>
      <c r="F103" s="79">
        <v>866.07045957387891</v>
      </c>
      <c r="H103" s="43">
        <v>2032</v>
      </c>
      <c r="I103" s="53">
        <v>2643.0371008641087</v>
      </c>
      <c r="J103" s="53">
        <v>2333.7705078173894</v>
      </c>
      <c r="K103" s="53">
        <v>948.52959758658835</v>
      </c>
      <c r="L103" s="53">
        <v>1.483805976837175</v>
      </c>
      <c r="M103" s="53">
        <v>712.01853417936945</v>
      </c>
      <c r="N103" s="39"/>
      <c r="O103" s="43">
        <v>2032</v>
      </c>
      <c r="P103" s="53">
        <v>1062.7906122234417</v>
      </c>
      <c r="Q103" s="53">
        <v>1015.5752492926549</v>
      </c>
      <c r="R103" s="53">
        <v>149.8071201776911</v>
      </c>
      <c r="S103" s="53">
        <v>15.494477951135195</v>
      </c>
      <c r="T103" s="53">
        <v>-184.93090826662956</v>
      </c>
      <c r="V103" s="43">
        <v>2032</v>
      </c>
      <c r="W103" s="53">
        <v>-364.44726484827697</v>
      </c>
      <c r="X103" s="53">
        <v>170.10652336478233</v>
      </c>
      <c r="Y103" s="53">
        <v>-1031.4248568806215</v>
      </c>
      <c r="Z103" s="53">
        <v>361.19478532118956</v>
      </c>
      <c r="AA103" s="53">
        <v>5497.0645137953106</v>
      </c>
    </row>
    <row r="104" spans="1:27" s="52" customFormat="1" x14ac:dyDescent="0.25">
      <c r="A104" s="53" t="s">
        <v>45</v>
      </c>
      <c r="B104" s="78">
        <f>AVERAGE(B101:B103)</f>
        <v>2951.0585542684421</v>
      </c>
      <c r="C104" s="78">
        <f>AVERAGE(C101:C103)</f>
        <v>1280.8060701006714</v>
      </c>
      <c r="D104" s="78">
        <f>AVERAGE(D101:D103)</f>
        <v>1162.5441461007551</v>
      </c>
      <c r="E104" s="78">
        <f>AVERAGE(E101:E103)</f>
        <v>10.70897646448187</v>
      </c>
      <c r="F104" s="78">
        <f>AVERAGE(F101:F103)</f>
        <v>497.78321479953593</v>
      </c>
      <c r="H104" s="53" t="s">
        <v>45</v>
      </c>
      <c r="I104" s="46">
        <f>AVERAGE(I101:I103)</f>
        <v>2434.3574467555154</v>
      </c>
      <c r="J104" s="46">
        <f>AVERAGE(J101:J103)</f>
        <v>1884.0098171296995</v>
      </c>
      <c r="K104" s="46">
        <f>AVERAGE(K101:K103)</f>
        <v>1115.0919854816359</v>
      </c>
      <c r="L104" s="46">
        <f>AVERAGE(L101:L103)</f>
        <v>1.4138700959301786</v>
      </c>
      <c r="M104" s="46">
        <f>AVERAGE(M101:M103)</f>
        <v>739.93101141219574</v>
      </c>
      <c r="N104" s="39"/>
      <c r="O104" s="53" t="s">
        <v>45</v>
      </c>
      <c r="P104" s="46">
        <f>AVERAGE(P101:P103)</f>
        <v>853.97118823781295</v>
      </c>
      <c r="Q104" s="46">
        <f>AVERAGE(Q101:Q103)</f>
        <v>183.16129426235179</v>
      </c>
      <c r="R104" s="46">
        <f>AVERAGE(R101:R103)</f>
        <v>90.159875353125244</v>
      </c>
      <c r="S104" s="46">
        <f>AVERAGE(S101:S103)</f>
        <v>2.4869108732164023</v>
      </c>
      <c r="T104" s="46">
        <f>AVERAGE(T101:T103)</f>
        <v>54.100448591324188</v>
      </c>
      <c r="V104" s="53" t="s">
        <v>45</v>
      </c>
      <c r="W104" s="46">
        <f>AVERAGE(W101:W103)</f>
        <v>-1195.0959166749381</v>
      </c>
      <c r="X104" s="46">
        <f>AVERAGE(X101:X103)</f>
        <v>760.51694995979778</v>
      </c>
      <c r="Y104" s="46">
        <f>AVERAGE(Y101:Y103)</f>
        <v>244.67698754618564</v>
      </c>
      <c r="Z104" s="46">
        <f>AVERAGE(Z101:Z103)</f>
        <v>168.52229428667729</v>
      </c>
      <c r="AA104" s="46">
        <f>AVERAGE(AA101:AA103)</f>
        <v>5968.6008324112045</v>
      </c>
    </row>
    <row r="107" spans="1:27" x14ac:dyDescent="0.25">
      <c r="A107" s="47"/>
    </row>
  </sheetData>
  <scenarios current="0">
    <scenario name="Neutral" locked="1" count="1" user="Kiet Lee" comment="Created by Kiet Lee on 10/10/2017">
      <inputCells r="B2" val="5" numFmtId="9"/>
    </scenario>
  </scenarios>
  <mergeCells count="12">
    <mergeCell ref="A74:A86"/>
    <mergeCell ref="H74:H86"/>
    <mergeCell ref="O74:O86"/>
    <mergeCell ref="V74:V86"/>
    <mergeCell ref="A31:A44"/>
    <mergeCell ref="H31:H44"/>
    <mergeCell ref="O31:O44"/>
    <mergeCell ref="V31:V44"/>
    <mergeCell ref="A49:A69"/>
    <mergeCell ref="H49:H69"/>
    <mergeCell ref="O49:O69"/>
    <mergeCell ref="V49:V69"/>
  </mergeCells>
  <conditionalFormatting sqref="D16:J20 H9">
    <cfRule type="cellIs" dxfId="3" priority="7" operator="lessThan">
      <formula>0</formula>
    </cfRule>
  </conditionalFormatting>
  <conditionalFormatting sqref="K16:K20">
    <cfRule type="cellIs" dxfId="2" priority="5" operator="lessThan">
      <formula>0</formula>
    </cfRule>
  </conditionalFormatting>
  <conditionalFormatting sqref="D21:J22">
    <cfRule type="cellIs" dxfId="1" priority="4" operator="lessThan">
      <formula>0</formula>
    </cfRule>
  </conditionalFormatting>
  <conditionalFormatting sqref="K21:K22">
    <cfRule type="cellIs" dxfId="0" priority="3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>/sites/wa/p/vp</xsnScope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C062622E2174FB55C7A2A9782895B" ma:contentTypeVersion="3" ma:contentTypeDescription="Create a new document." ma:contentTypeScope="" ma:versionID="0a81f6e714545db71345ab5a166a0a9d">
  <xsd:schema xmlns:xsd="http://www.w3.org/2001/XMLSchema" xmlns:xs="http://www.w3.org/2001/XMLSchema" xmlns:p="http://schemas.microsoft.com/office/2006/metadata/properties" xmlns:ns2="51ac4e04-0f7f-4421-8443-217e98103914" xmlns:ns3="a14523ce-dede-483e-883a-2d83261080bd" targetNamespace="http://schemas.microsoft.com/office/2006/metadata/properties" ma:root="true" ma:fieldsID="45a0e426ca66d75890d805ac41bea146" ns2:_="" ns3:_="">
    <xsd:import namespace="51ac4e04-0f7f-4421-8443-217e98103914"/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Divis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c4e04-0f7f-4421-8443-217e98103914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format="Dropdown" ma:internalName="DocumentType" ma:readOnly="false">
      <xsd:simpleType>
        <xsd:restriction base="dms:Choice">
          <xsd:enumeration value="Action Register"/>
          <xsd:enumeration value="Agenda"/>
          <xsd:enumeration value="Board Paper"/>
          <xsd:enumeration value="Budget"/>
          <xsd:enumeration value="Correspondence"/>
          <xsd:enumeration value="ELT Paper"/>
          <xsd:enumeration value="External Publications"/>
          <xsd:enumeration value="Flow Chart"/>
          <xsd:enumeration value="Lessons Learnt Presentation"/>
          <xsd:enumeration value="Memo"/>
          <xsd:enumeration value="Minutes"/>
          <xsd:enumeration value="Monthly Report"/>
          <xsd:enumeration value="Presentation"/>
          <xsd:enumeration value="Recruitment Request Form"/>
          <xsd:enumeration value="Report"/>
          <xsd:enumeration value="Risk"/>
          <xsd:enumeration value="Status Update"/>
          <xsd:enumeration value="Submission"/>
          <xsd:enumeration value="Technical Committee Paper"/>
        </xsd:restriction>
      </xsd:simpleType>
    </xsd:element>
    <xsd:element name="Division" ma:index="9" nillable="true" ma:displayName="Division" ma:internalName="Divis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GM"/>
                    <xsd:enumeration value="Market Modelling"/>
                    <xsd:enumeration value="Network Analysis"/>
                    <xsd:enumeration value="Network Models"/>
                    <xsd:enumeration value="Project Delivery"/>
                    <xsd:enumeration value="Strategy and Economic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51ac4e04-0f7f-4421-8443-217e98103914" xsi:nil="true"/>
    <Division xmlns="51ac4e04-0f7f-4421-8443-217e98103914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8FD03FD-142E-4659-B0D9-6C51BC43733D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ADEB10F2-DEC7-4C59-9567-3BAA9BB53D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ac4e04-0f7f-4421-8443-217e98103914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18D966-648C-4B45-AE7D-79690920BCF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a14523ce-dede-483e-883a-2d83261080bd"/>
    <ds:schemaRef ds:uri="51ac4e04-0f7f-4421-8443-217e9810391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95FA02F-9DA9-4B07-9E43-3FF6AA0FF26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0E5BC86-7937-4822-BB6A-AB571B20627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20</vt:i4>
      </vt:variant>
    </vt:vector>
  </HeadingPairs>
  <TitlesOfParts>
    <vt:vector size="29" baseType="lpstr">
      <vt:lpstr>Assumptions</vt:lpstr>
      <vt:lpstr>Results Summary</vt:lpstr>
      <vt:lpstr>Results Rank</vt:lpstr>
      <vt:lpstr>Benefits - Option B2</vt:lpstr>
      <vt:lpstr>Benefits - Option B3</vt:lpstr>
      <vt:lpstr>Benefits - Option B4</vt:lpstr>
      <vt:lpstr>Benefits - Option C1</vt:lpstr>
      <vt:lpstr>Benefits - Option C2</vt:lpstr>
      <vt:lpstr>Benefits - Option E1</vt:lpstr>
      <vt:lpstr>Discount_rate</vt:lpstr>
      <vt:lpstr>Network_option_lifespan</vt:lpstr>
      <vt:lpstr>Network_payment_duration_years</vt:lpstr>
      <vt:lpstr>Non_network_option_lifespan</vt:lpstr>
      <vt:lpstr>Non_Network_payment_duration_years</vt:lpstr>
      <vt:lpstr>Option_B10_1_Cost</vt:lpstr>
      <vt:lpstr>Option_B10_1_Year</vt:lpstr>
      <vt:lpstr>Option_B2_Cost</vt:lpstr>
      <vt:lpstr>Option_B2_Year</vt:lpstr>
      <vt:lpstr>Option_B3_Cost</vt:lpstr>
      <vt:lpstr>Option_B3_Year</vt:lpstr>
      <vt:lpstr>Option_B4_Cost</vt:lpstr>
      <vt:lpstr>Option_B4_Year</vt:lpstr>
      <vt:lpstr>Option_C1_Cost</vt:lpstr>
      <vt:lpstr>Option_C1_Year</vt:lpstr>
      <vt:lpstr>Option_C2_PresentCost</vt:lpstr>
      <vt:lpstr>Option_C2_Year</vt:lpstr>
      <vt:lpstr>Snowylink_Year</vt:lpstr>
      <vt:lpstr>Snowylink1_Cost</vt:lpstr>
      <vt:lpstr>Snowylink2_Cost</vt:lpstr>
    </vt:vector>
  </TitlesOfParts>
  <Company>AEMO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Kiet Lee</dc:creator>
  <cp:lastModifiedBy>Felicity Bodger</cp:lastModifiedBy>
  <dcterms:created xsi:type="dcterms:W3CDTF">2017-10-05T05:24:53Z</dcterms:created>
  <dcterms:modified xsi:type="dcterms:W3CDTF">2018-12-13T01:05:50Z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0x0101003D4C062622E2174FB55C7A2A9782895B</vt:lpwstr>
  </property>
  <property fmtid="{D5CDD505-2E9C-101B-9397-08002B2CF9AE}" pid="3" name="AEMODocumentTypeTaxHTField0">
    <vt:lpwstr>Operational Record|859762f2-4462-42eb-9744-c955c7e2c540</vt:lpwstr>
  </property>
  <property fmtid="{D5CDD505-2E9C-101B-9397-08002B2CF9AE}" pid="4" name="TaxCatchAll">
    <vt:lpwstr>1;#Operational Record|859762f2-4462-42eb-9744-c955c7e2c540</vt:lpwstr>
  </property>
  <property fmtid="{D5CDD505-2E9C-101B-9397-08002B2CF9AE}" pid="5" name="AEMODocumentType">
    <vt:lpwstr>1;#Operational Record|859762f2-4462-42eb-9744-c955c7e2c540</vt:lpwstr>
  </property>
</Properties>
</file>