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9\2019_May_MLF_Update\Publication\May 2019\"/>
    </mc:Choice>
  </mc:AlternateContent>
  <xr:revisionPtr revIDLastSave="0" documentId="13_ncr:1_{331609FB-2FAF-4DA5-942D-2DED962FCCBA}" xr6:coauthVersionLast="36" xr6:coauthVersionMax="36" xr10:uidLastSave="{00000000-0000-0000-0000-000000000000}"/>
  <bookViews>
    <workbookView xWindow="0" yWindow="0" windowWidth="13125" windowHeight="6105" xr2:uid="{00000000-000D-0000-FFFF-FFFF00000000}"/>
  </bookViews>
  <sheets>
    <sheet name="South Austral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20" r:id="rId8"/>
  </sheets>
  <externalReferences>
    <externalReference r:id="rId9"/>
  </externalReferences>
  <definedNames>
    <definedName name="ExternalData_1" localSheetId="5" hidden="1">'Existing NS Generation'!$A$2:$I$41</definedName>
    <definedName name="ExternalData_1" localSheetId="2">'Existing S &amp; SS Generation'!#REF!</definedName>
    <definedName name="ExternalData_1" localSheetId="6" hidden="1">'New Developments'!$A$2:$O$59</definedName>
    <definedName name="ExternalData_1" localSheetId="3" hidden="1">'Summer Scheduled Capacities'!$A$2:$O$39</definedName>
    <definedName name="ExternalData_1" localSheetId="4" hidden="1">'Winter Scheduled Capacities'!$A$2:$O$39</definedName>
    <definedName name="ExternalData_2" localSheetId="2" hidden="1">'Existing S &amp; SS Generation'!$A$2:$L$33</definedName>
    <definedName name="ExternalData_2" localSheetId="3" hidden="1">'Summer Scheduled Capacities'!$A$49:$O$68</definedName>
    <definedName name="ExternalData_2" localSheetId="4" hidden="1">'Winter Scheduled Capacities'!$A$49:$O$68</definedName>
    <definedName name="ExternalData_3" localSheetId="3" hidden="1">'Summer Scheduled Capacities'!$A$75:$O$93</definedName>
    <definedName name="ExternalData_3" localSheetId="4" hidden="1">'Winter Scheduled Capacities'!$A$75:$O$93</definedName>
    <definedName name="Type_List">OFFSET('[1]Version changes'!$C$3,1,0,COUNTA('[1]Version changes'!$T:$T-1),1)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2" i="1" l="1"/>
  <c r="K72" i="1"/>
  <c r="J72" i="1"/>
  <c r="I72" i="1"/>
  <c r="H72" i="1"/>
  <c r="G72" i="1"/>
  <c r="F72" i="1"/>
  <c r="E72" i="1"/>
  <c r="D72" i="1"/>
  <c r="L69" i="1"/>
  <c r="K69" i="1"/>
  <c r="J69" i="1"/>
  <c r="I69" i="1"/>
  <c r="H69" i="1"/>
  <c r="G69" i="1"/>
  <c r="F69" i="1"/>
  <c r="E69" i="1"/>
  <c r="D69" i="1"/>
  <c r="L68" i="1"/>
  <c r="K68" i="1"/>
  <c r="J68" i="1"/>
  <c r="I68" i="1"/>
  <c r="H68" i="1"/>
  <c r="G68" i="1"/>
  <c r="F68" i="1"/>
  <c r="E68" i="1"/>
  <c r="D68" i="1"/>
  <c r="C68" i="1"/>
  <c r="C69" i="1"/>
  <c r="C72" i="1"/>
  <c r="D35" i="11"/>
  <c r="C43" i="12" l="1"/>
  <c r="C41" i="16" l="1"/>
  <c r="D41" i="16"/>
  <c r="E41" i="16"/>
  <c r="F41" i="16"/>
  <c r="G41" i="16"/>
  <c r="H41" i="16"/>
  <c r="I41" i="16"/>
  <c r="J41" i="16"/>
  <c r="K41" i="16"/>
  <c r="B41" i="16"/>
  <c r="C70" i="16"/>
  <c r="C72" i="16" s="1"/>
  <c r="D70" i="16"/>
  <c r="D72" i="16" s="1"/>
  <c r="E70" i="16"/>
  <c r="E72" i="16" s="1"/>
  <c r="F70" i="16"/>
  <c r="F72" i="16" s="1"/>
  <c r="G70" i="16"/>
  <c r="G72" i="16" s="1"/>
  <c r="H70" i="16"/>
  <c r="H72" i="16" s="1"/>
  <c r="I70" i="16"/>
  <c r="I72" i="16" s="1"/>
  <c r="J70" i="16"/>
  <c r="J72" i="16" s="1"/>
  <c r="K70" i="16"/>
  <c r="K72" i="16" s="1"/>
  <c r="B70" i="16"/>
  <c r="B72" i="16" s="1"/>
  <c r="C96" i="16"/>
  <c r="D96" i="16"/>
  <c r="E96" i="16"/>
  <c r="F96" i="16"/>
  <c r="G96" i="16"/>
  <c r="H96" i="16"/>
  <c r="I96" i="16"/>
  <c r="J96" i="16"/>
  <c r="K96" i="16"/>
  <c r="B96" i="16"/>
  <c r="C95" i="16"/>
  <c r="D95" i="16"/>
  <c r="E95" i="16"/>
  <c r="F95" i="16"/>
  <c r="G95" i="16"/>
  <c r="H95" i="16"/>
  <c r="I95" i="16"/>
  <c r="J95" i="16"/>
  <c r="K95" i="16"/>
  <c r="B95" i="16"/>
  <c r="C70" i="15"/>
  <c r="C72" i="15" s="1"/>
  <c r="D70" i="15"/>
  <c r="D72" i="15" s="1"/>
  <c r="E70" i="15"/>
  <c r="E72" i="15" s="1"/>
  <c r="F70" i="15"/>
  <c r="F72" i="15" s="1"/>
  <c r="G70" i="15"/>
  <c r="G72" i="15" s="1"/>
  <c r="H70" i="15"/>
  <c r="H72" i="15" s="1"/>
  <c r="I70" i="15"/>
  <c r="I72" i="15" s="1"/>
  <c r="J70" i="15"/>
  <c r="J72" i="15" s="1"/>
  <c r="K70" i="15"/>
  <c r="K72" i="15" s="1"/>
  <c r="B70" i="15"/>
  <c r="B72" i="15" s="1"/>
  <c r="C96" i="15"/>
  <c r="D96" i="15"/>
  <c r="E96" i="15"/>
  <c r="F96" i="15"/>
  <c r="G96" i="15"/>
  <c r="H96" i="15"/>
  <c r="I96" i="15"/>
  <c r="J96" i="15"/>
  <c r="K96" i="15"/>
  <c r="B96" i="15"/>
  <c r="C95" i="15"/>
  <c r="D95" i="15"/>
  <c r="E95" i="15"/>
  <c r="F95" i="15"/>
  <c r="G95" i="15"/>
  <c r="H95" i="15"/>
  <c r="I95" i="15"/>
  <c r="J95" i="15"/>
  <c r="K95" i="15"/>
  <c r="B95" i="15"/>
  <c r="C41" i="15"/>
  <c r="D41" i="15"/>
  <c r="E41" i="15"/>
  <c r="F41" i="15"/>
  <c r="G41" i="15"/>
  <c r="H41" i="15"/>
  <c r="I41" i="15"/>
  <c r="J41" i="15"/>
  <c r="K41" i="15"/>
  <c r="B41" i="15"/>
  <c r="H70" i="1" l="1"/>
  <c r="J67" i="1"/>
  <c r="F67" i="1" l="1"/>
  <c r="G67" i="1"/>
  <c r="H67" i="1"/>
  <c r="L67" i="1"/>
  <c r="I67" i="1"/>
  <c r="E67" i="1"/>
  <c r="D67" i="1"/>
  <c r="M72" i="1"/>
  <c r="M68" i="1"/>
  <c r="K67" i="1"/>
  <c r="M69" i="1"/>
  <c r="C67" i="1"/>
  <c r="L71" i="1"/>
  <c r="K71" i="1"/>
  <c r="J71" i="1"/>
  <c r="I71" i="1"/>
  <c r="H71" i="1"/>
  <c r="G71" i="1"/>
  <c r="F71" i="1"/>
  <c r="E71" i="1"/>
  <c r="D71" i="1"/>
  <c r="C71" i="1"/>
  <c r="L70" i="1"/>
  <c r="K70" i="1"/>
  <c r="J70" i="1"/>
  <c r="I70" i="1"/>
  <c r="G70" i="1"/>
  <c r="F70" i="1"/>
  <c r="E70" i="1"/>
  <c r="D70" i="1"/>
  <c r="C70" i="1"/>
  <c r="M71" i="1" l="1"/>
  <c r="M70" i="1"/>
  <c r="M6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existingnstable" description="Connection to the 'existingnstable' query in the workbook." type="5" refreshedVersion="6" background="1" saveData="1">
    <dbPr connection="Provider=Microsoft.Mashup.OleDb.1;Data Source=$Workbook$;Location=existingnstable;Extended Properties=&quot;&quot;" command="SELECT * FROM [existingnstable]"/>
  </connection>
  <connection id="2" xr16:uid="{00000000-0015-0000-FFFF-FFFF01000000}" keepAlive="1" name="Query - existingstable" description="Connection to the 'existingstable' query in the workbook." type="5" refreshedVersion="6" background="1" saveData="1">
    <dbPr connection="Provider=Microsoft.Mashup.OleDb.1;Data Source=$Workbook$;Location=existingstable;Extended Properties=&quot;&quot;" command="SELECT * FROM [existingstable]"/>
  </connection>
  <connection id="3"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 id="4" xr16:uid="{00000000-0015-0000-FFFF-FFFF03000000}" keepAlive="1" name="Query - newdevtable" description="Connection to the 'newdevtable' query in the workbook." type="5" refreshedVersion="6" background="1" saveData="1">
    <dbPr connection="Provider=Microsoft.Mashup.OleDb.1;Data Source=$Workbook$;Location=newdevtable;Extended Properties=&quot;&quot;" command="SELECT * FROM [newdevtable]"/>
  </connection>
  <connection id="5" xr16:uid="{00000000-0015-0000-FFFF-FFFF04000000}" keepAlive="1" name="Query - sumcapsalltable" description="Connection to the 'sumcapsalltable' query in the workbook." type="5" refreshedVersion="6" background="1" saveData="1">
    <dbPr connection="Provider=Microsoft.Mashup.OleDb.1;Data Source=$Workbook$;Location=sumcapsalltable;Extended Properties=&quot;&quot;" command="SELECT * FROM [sumcapsalltable]"/>
  </connection>
  <connection id="6" xr16:uid="{00000000-0015-0000-FFFF-FFFF05000000}" keepAlive="1" name="Query - sumcapsSStable" description="Connection to the 'sumcapsSStable' query in the workbook." type="5" refreshedVersion="6" background="1" saveData="1">
    <dbPr connection="Provider=Microsoft.Mashup.OleDb.1;Data Source=$Workbook$;Location=sumcapsSStable;Extended Properties=&quot;&quot;" command="SELECT * FROM [sumcapsSStable]"/>
  </connection>
  <connection id="7" xr16:uid="{00000000-0015-0000-FFFF-FFFF06000000}" keepAlive="1" name="Query - sumcapsStable" description="Connection to the 'sumcapsStable' query in the workbook." type="5" refreshedVersion="6" background="1" saveData="1">
    <dbPr connection="Provider=Microsoft.Mashup.OleDb.1;Data Source=$Workbook$;Location=sumcapsStable;Extended Properties=&quot;&quot;" command="SELECT * FROM [sumcapsStable]"/>
  </connection>
  <connection id="8" xr16:uid="{00000000-0015-0000-FFFF-FFFF07000000}" keepAlive="1" name="Query - wincapsalltable" description="Connection to the 'wincapsalltable' query in the workbook." type="5" refreshedVersion="6" background="1" saveData="1">
    <dbPr connection="Provider=Microsoft.Mashup.OleDb.1;Data Source=$Workbook$;Location=wincapsalltable;Extended Properties=&quot;&quot;" command="SELECT * FROM [wincapsalltable]"/>
  </connection>
  <connection id="9" xr16:uid="{00000000-0015-0000-FFFF-FFFF08000000}" keepAlive="1" name="Query - wincapsSStable" description="Connection to the 'wincapsSStable' query in the workbook." type="5" refreshedVersion="6" background="1" saveData="1">
    <dbPr connection="Provider=Microsoft.Mashup.OleDb.1;Data Source=$Workbook$;Location=wincapsSStable;Extended Properties=&quot;&quot;" command="SELECT * FROM [wincapsSStable]"/>
  </connection>
  <connection id="10" xr16:uid="{00000000-0015-0000-FFFF-FFFF09000000}" keepAlive="1" name="Query - wincapsStable" description="Connection to the 'wincapsStable' query in the workbook." type="5" refreshedVersion="6" background="1" saveData="1">
    <dbPr connection="Provider=Microsoft.Mashup.OleDb.1;Data Source=$Workbook$;Location=wincapsStable;Extended Properties=&quot;&quot;" command="SELECT * FROM [wincapsStable]"/>
  </connection>
</connections>
</file>

<file path=xl/sharedStrings.xml><?xml version="1.0" encoding="utf-8"?>
<sst xmlns="http://schemas.openxmlformats.org/spreadsheetml/2006/main" count="2533" uniqueCount="616">
  <si>
    <t>Existing &amp; committed scheduled and semi-scheduled generation</t>
  </si>
  <si>
    <t>Power Station</t>
  </si>
  <si>
    <t>Owner</t>
  </si>
  <si>
    <t>Technology Type</t>
  </si>
  <si>
    <t>Fuel Type</t>
  </si>
  <si>
    <t>Dispatch Type</t>
  </si>
  <si>
    <t>Service Status</t>
  </si>
  <si>
    <t>Region</t>
  </si>
  <si>
    <t>Angaston</t>
  </si>
  <si>
    <t>Lumo Generation SA Pty Ltd</t>
  </si>
  <si>
    <t>12 x 1.66
18 x 1.66</t>
  </si>
  <si>
    <t>Compression Reciprocating Engine</t>
  </si>
  <si>
    <t>Diesel</t>
  </si>
  <si>
    <t>S</t>
  </si>
  <si>
    <t>In Service</t>
  </si>
  <si>
    <t>SA</t>
  </si>
  <si>
    <t>Wind - Onshore</t>
  </si>
  <si>
    <t>Wind</t>
  </si>
  <si>
    <t>SS</t>
  </si>
  <si>
    <t>OCGT</t>
  </si>
  <si>
    <t>Natural Gas Pipeline</t>
  </si>
  <si>
    <t>Infrastructure Capital Group</t>
  </si>
  <si>
    <t>Water</t>
  </si>
  <si>
    <t>Hydro - Gravity</t>
  </si>
  <si>
    <t>AGL Energy</t>
  </si>
  <si>
    <t>Steam Sub Critical</t>
  </si>
  <si>
    <t>AGL</t>
  </si>
  <si>
    <t>PV panels</t>
  </si>
  <si>
    <t>Solar</t>
  </si>
  <si>
    <t>PV-Tracking Flat panel</t>
  </si>
  <si>
    <t>Pacific Hydro Clements Gap Pty Ltd</t>
  </si>
  <si>
    <t>27 x 2.1</t>
  </si>
  <si>
    <t>CCGT</t>
  </si>
  <si>
    <t>Origin Energy Power Limited</t>
  </si>
  <si>
    <t>Dry Creek GT</t>
  </si>
  <si>
    <t>Synergen Power Pty Ltd</t>
  </si>
  <si>
    <t>3 x 52</t>
  </si>
  <si>
    <t>Hallett 4 North Brown Hill</t>
  </si>
  <si>
    <t>Brown Hill North Pty Ltd</t>
  </si>
  <si>
    <t>63 x 2.1</t>
  </si>
  <si>
    <t>Hallett 5 The Bluff WF</t>
  </si>
  <si>
    <t>Eurus Energy</t>
  </si>
  <si>
    <t>25 x 2.1</t>
  </si>
  <si>
    <t>Hallett GT</t>
  </si>
  <si>
    <t>EnergyAustralia</t>
  </si>
  <si>
    <t>2 x 16.24
4 x 17
2 x 20.75
1 x 18
1 x 21.76
1 x 25.6
1 x 27</t>
  </si>
  <si>
    <t>Hallett Stage 1 Brown Hill</t>
  </si>
  <si>
    <t>Palisade Investment Partner Limited</t>
  </si>
  <si>
    <t>45 x 2.1</t>
  </si>
  <si>
    <t>Hallett Stage 2 Hallett Hill</t>
  </si>
  <si>
    <t>Infrastructure Capital Group Limited</t>
  </si>
  <si>
    <t>34 x 2.1</t>
  </si>
  <si>
    <t>Hornsdale Power Reserve Unit 1</t>
  </si>
  <si>
    <t>Hornsdale Power Reserve Pty Ltd</t>
  </si>
  <si>
    <t>Hornsdale Wind Farm Stage 1</t>
  </si>
  <si>
    <t>HWF 1 Pty Ltd</t>
  </si>
  <si>
    <t>32 x 3.2</t>
  </si>
  <si>
    <t>Hornsdale Wind Farm Stage 2</t>
  </si>
  <si>
    <t>HWF 2 Pty Ltd</t>
  </si>
  <si>
    <t>Hornsdale Wind Farm Stage 3</t>
  </si>
  <si>
    <t>HWF 3 Pty Ltd</t>
  </si>
  <si>
    <t>35 x 3.2</t>
  </si>
  <si>
    <t>Ladbroke Grove</t>
  </si>
  <si>
    <t>2 x 40</t>
  </si>
  <si>
    <t>Lake Bonney 2 Wind Farm</t>
  </si>
  <si>
    <t>Lake Bonney Wind Power Pty Ltd</t>
  </si>
  <si>
    <t>53 x 3</t>
  </si>
  <si>
    <t>Lake Bonney 3 Wind Farm</t>
  </si>
  <si>
    <t>13 x 3</t>
  </si>
  <si>
    <t>Announced Withdrawal</t>
  </si>
  <si>
    <t>Lonsdale</t>
  </si>
  <si>
    <t>18 x 1.15</t>
  </si>
  <si>
    <t>Mintaro GT</t>
  </si>
  <si>
    <t>1 x 90</t>
  </si>
  <si>
    <t>Osborne</t>
  </si>
  <si>
    <t>Osborne Cogeneration Pty Ltd</t>
  </si>
  <si>
    <t>1 x 118
1 x 62</t>
  </si>
  <si>
    <t>Pelican Point</t>
  </si>
  <si>
    <t>Pelican Point Power Limited</t>
  </si>
  <si>
    <t>Port Lincoln GT</t>
  </si>
  <si>
    <t>Port Stanvac 1</t>
  </si>
  <si>
    <t>36 x 1.6</t>
  </si>
  <si>
    <t>Quarantine</t>
  </si>
  <si>
    <t>Snowtown Wind Farm Pty Ltd</t>
  </si>
  <si>
    <t>47 x 2.1</t>
  </si>
  <si>
    <t>Snowtown Wind Farm Stage 2 Pty Ltd</t>
  </si>
  <si>
    <t>90 x 3</t>
  </si>
  <si>
    <t>Snuggery</t>
  </si>
  <si>
    <t>3 x 21</t>
  </si>
  <si>
    <t>SA Power Networks</t>
  </si>
  <si>
    <t>Torrens Island A</t>
  </si>
  <si>
    <t>Torrens Island B</t>
  </si>
  <si>
    <t>4 x 200</t>
  </si>
  <si>
    <t>Ratch Australia</t>
  </si>
  <si>
    <t>Waterloo Windfarm Pty Ltd</t>
  </si>
  <si>
    <t>6 x 3.3
37 x 3</t>
  </si>
  <si>
    <t>Total</t>
  </si>
  <si>
    <t>1</t>
  </si>
  <si>
    <t>Barker Inlet Power Station</t>
  </si>
  <si>
    <t>1-12</t>
  </si>
  <si>
    <t>Bungala Three</t>
  </si>
  <si>
    <t>Lincoln Gap Wind Farm - stage 1</t>
  </si>
  <si>
    <t>LGWT01-35</t>
  </si>
  <si>
    <t>10</t>
  </si>
  <si>
    <t>Solar Panels</t>
  </si>
  <si>
    <t>1-48</t>
  </si>
  <si>
    <t>Tailem Bend - Solar</t>
  </si>
  <si>
    <t>Station</t>
  </si>
  <si>
    <t>Existing non-scheduled generation</t>
  </si>
  <si>
    <t>Nameplate Capacity (MW)</t>
  </si>
  <si>
    <t>In service</t>
  </si>
  <si>
    <t>Adelaide Airport</t>
  </si>
  <si>
    <t>Adelaide Airport Ltd</t>
  </si>
  <si>
    <t>Landfill Methane / Landfill Gas</t>
  </si>
  <si>
    <t>Blue Lake Milling Power Plant</t>
  </si>
  <si>
    <t>Vibe Energy Pty Ltd</t>
  </si>
  <si>
    <t>Bolivar Waste Water Treatment</t>
  </si>
  <si>
    <t>South Australian Water Corporation</t>
  </si>
  <si>
    <t>Sewerage / Waste Water</t>
  </si>
  <si>
    <t>Bordertown Power Station Gen</t>
  </si>
  <si>
    <t>Vibe Energy</t>
  </si>
  <si>
    <t>Canunda</t>
  </si>
  <si>
    <t>Canunda Power Pty Ltd</t>
  </si>
  <si>
    <t>Cathedral Rocks</t>
  </si>
  <si>
    <t>JV Cathedral Rock Investments Pty Ltd and Acciona Energy Oceania Pty Ltd</t>
  </si>
  <si>
    <t>Coopers Co-gen</t>
  </si>
  <si>
    <t>Kingscote Power Station</t>
  </si>
  <si>
    <t>Lake Bonney 1 Wind Farm</t>
  </si>
  <si>
    <t>Mt Millar</t>
  </si>
  <si>
    <t>Mount Millar Wind Farm Pty Ltd</t>
  </si>
  <si>
    <t>NAWMA Balefill Site Uleybury</t>
  </si>
  <si>
    <t>LMS Energy</t>
  </si>
  <si>
    <t>Peterborough Solar Farm</t>
  </si>
  <si>
    <t>Renew Power Group Pty Ltd</t>
  </si>
  <si>
    <t>Seacliff Mini Hydro</t>
  </si>
  <si>
    <t>SA Water</t>
  </si>
  <si>
    <t>Starfish Hill</t>
  </si>
  <si>
    <t>Tatiara Meats</t>
  </si>
  <si>
    <t>Terminal Storage Mini Hydro</t>
  </si>
  <si>
    <t>Lofty Ranges Power Pty Ltd</t>
  </si>
  <si>
    <t>Wattle Point</t>
  </si>
  <si>
    <t>Wingfield 1</t>
  </si>
  <si>
    <t>EDL LFG SA Pty Ltd</t>
  </si>
  <si>
    <t>Wingfield 2</t>
  </si>
  <si>
    <t>YES Sunlands</t>
  </si>
  <si>
    <t>Yates Electrical Services</t>
  </si>
  <si>
    <t>Projects under development</t>
  </si>
  <si>
    <t>Project</t>
  </si>
  <si>
    <t>Unit Status</t>
  </si>
  <si>
    <t>Full Commercial Use Date</t>
  </si>
  <si>
    <t>TBA</t>
  </si>
  <si>
    <t>No</t>
  </si>
  <si>
    <t>Yes</t>
  </si>
  <si>
    <t>NS</t>
  </si>
  <si>
    <t>144</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</si>
  <si>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</si>
  <si>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</si>
  <si>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</si>
  <si>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</si>
  <si>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</si>
  <si>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</si>
  <si>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</si>
  <si>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</si>
  <si>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</si>
  <si>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</si>
  <si>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</si>
  <si>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</si>
  <si>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</si>
  <si>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</si>
  <si>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</si>
  <si>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</si>
  <si>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</si>
  <si>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</si>
  <si>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</si>
  <si>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</si>
  <si>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</si>
  <si>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</si>
  <si>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Emerging</t>
  </si>
  <si>
    <t>Vena Energy</t>
  </si>
  <si>
    <t>150</t>
  </si>
  <si>
    <t>Units 1-42</t>
  </si>
  <si>
    <t>15</t>
  </si>
  <si>
    <t>300</t>
  </si>
  <si>
    <t>110</t>
  </si>
  <si>
    <t>85</t>
  </si>
  <si>
    <t>Maturing</t>
  </si>
  <si>
    <t>Tilt Renewables Australia</t>
  </si>
  <si>
    <t>60</t>
  </si>
  <si>
    <t>140</t>
  </si>
  <si>
    <t>Lyon Solar</t>
  </si>
  <si>
    <t>Tilt Renewables</t>
  </si>
  <si>
    <t>Wood Waste</t>
  </si>
  <si>
    <t>1-3</t>
  </si>
  <si>
    <t>Mar 2021</t>
  </si>
  <si>
    <t>Aug 2019</t>
  </si>
  <si>
    <t>Aurora Solar Energy Project - Phase 1</t>
  </si>
  <si>
    <t>SolarReserve Australia II Pty Ltd</t>
  </si>
  <si>
    <t>ASEP1</t>
  </si>
  <si>
    <t>Solar Thml + Stg</t>
  </si>
  <si>
    <t>210</t>
  </si>
  <si>
    <t>Barn Hill</t>
  </si>
  <si>
    <t>Barn HIll Wind Farm Pty Ltd</t>
  </si>
  <si>
    <t>1-62</t>
  </si>
  <si>
    <t>124 - 187</t>
  </si>
  <si>
    <t>Bungala One Solar Farm</t>
  </si>
  <si>
    <t>Enel Green Power</t>
  </si>
  <si>
    <t>Reach Solar Management Co</t>
  </si>
  <si>
    <t>Bungala Two Solar Farm</t>
  </si>
  <si>
    <t>Bungala Solar Two</t>
  </si>
  <si>
    <t>ESCRI Dalrymple</t>
  </si>
  <si>
    <t>ElectraNet</t>
  </si>
  <si>
    <t>Exmoor</t>
  </si>
  <si>
    <t>Acciona Energy</t>
  </si>
  <si>
    <t>Goat Hill Pumped Hydro</t>
  </si>
  <si>
    <t>Altura Group</t>
  </si>
  <si>
    <t>Goat Hill Unit 1</t>
  </si>
  <si>
    <t>230</t>
  </si>
  <si>
    <t>Dec 2020</t>
  </si>
  <si>
    <t>Highbury Pumped Hydro Energy Storage</t>
  </si>
  <si>
    <t>1 and 2</t>
  </si>
  <si>
    <t>Keyneton</t>
  </si>
  <si>
    <t>Pacific Hydro Developments Australia</t>
  </si>
  <si>
    <t>105 - 176</t>
  </si>
  <si>
    <t>Aug 2021</t>
  </si>
  <si>
    <t>Leigh Creek Energy Project</t>
  </si>
  <si>
    <t>Leigh Creek Energy</t>
  </si>
  <si>
    <t>Gaseous fossil fuels - other</t>
  </si>
  <si>
    <t>45</t>
  </si>
  <si>
    <t>Lincoln Gap Wind Farm - BESS</t>
  </si>
  <si>
    <t>Lincoln Gap Wind Farm Pty Ltd</t>
  </si>
  <si>
    <t>BESS</t>
  </si>
  <si>
    <t>126</t>
  </si>
  <si>
    <t>Apr 2019</t>
  </si>
  <si>
    <t>Lincoln Gap Wind Farm - stage 2</t>
  </si>
  <si>
    <t>36 - 59</t>
  </si>
  <si>
    <t>86</t>
  </si>
  <si>
    <t>Palmer Wind Farm</t>
  </si>
  <si>
    <t>1-103</t>
  </si>
  <si>
    <t>375</t>
  </si>
  <si>
    <t>Port Augusta Graphite Energy - CST</t>
  </si>
  <si>
    <t>Solastor Pty Ltd</t>
  </si>
  <si>
    <t>Concentrated Solar Thermal</t>
  </si>
  <si>
    <t>Port Augusta Graphite Energy - PV</t>
  </si>
  <si>
    <t>Solar PV</t>
  </si>
  <si>
    <t>Port Augusta Renewable Energy Park - Solar</t>
  </si>
  <si>
    <t>PAREP 1 Pty Ltd</t>
  </si>
  <si>
    <t>Central Inverters</t>
  </si>
  <si>
    <t>Port Augusta Renewable Energy Park - Wind</t>
  </si>
  <si>
    <t>Turbine 1-59</t>
  </si>
  <si>
    <t>212.4</t>
  </si>
  <si>
    <t>Reeves Plains OCGT - stage 1</t>
  </si>
  <si>
    <t>Alinta Energy Reeves Plains Pty Ltd</t>
  </si>
  <si>
    <t>Reeves Plains OCGT - stage 2</t>
  </si>
  <si>
    <t>4-6</t>
  </si>
  <si>
    <t>330</t>
  </si>
  <si>
    <t>SA Government Virtual Power Plant - stage 1</t>
  </si>
  <si>
    <t>Government of South Australia</t>
  </si>
  <si>
    <t>1 - 100</t>
  </si>
  <si>
    <t>0.5</t>
  </si>
  <si>
    <t>SA Government Virtual Power Plant - stage 3</t>
  </si>
  <si>
    <t>1001 - 50000</t>
  </si>
  <si>
    <t>245</t>
  </si>
  <si>
    <t>Snowtown North Solar Farm</t>
  </si>
  <si>
    <t>1 to 11</t>
  </si>
  <si>
    <t>44</t>
  </si>
  <si>
    <t>Snowtown North Solar Farm - BESS</t>
  </si>
  <si>
    <t>21</t>
  </si>
  <si>
    <t>Stony Gap</t>
  </si>
  <si>
    <t>1-35</t>
  </si>
  <si>
    <t>119</t>
  </si>
  <si>
    <t>Tailem Bend Stage 2 Solar Project</t>
  </si>
  <si>
    <t>Units 1 to x</t>
  </si>
  <si>
    <t>Whyalla</t>
  </si>
  <si>
    <t>Adani</t>
  </si>
  <si>
    <t>Willogoleche Power Pty Ltd</t>
  </si>
  <si>
    <t>Woakwine Wind Farm</t>
  </si>
  <si>
    <t>Turbines 1-124</t>
  </si>
  <si>
    <t>400</t>
  </si>
  <si>
    <t>Yorke Peninsula Biomass</t>
  </si>
  <si>
    <t>Kallis Family Trust</t>
  </si>
  <si>
    <t>Yorke Peninsula Wind Farm</t>
  </si>
  <si>
    <t>Senvion Australia</t>
  </si>
  <si>
    <t>187</t>
  </si>
  <si>
    <t>635.8</t>
  </si>
  <si>
    <t>Please read the full disclaimer at</t>
  </si>
  <si>
    <t>http://www.aemo.com.au/Electricity/National-Electricity-Market-NEM/Planning-and-forecasting/Generation-information</t>
  </si>
  <si>
    <t>South Australia Summary</t>
  </si>
  <si>
    <t>Changes since last update</t>
  </si>
  <si>
    <r>
      <rPr>
        <b/>
        <sz val="9"/>
        <color theme="1"/>
        <rFont val="Arial"/>
        <family val="2"/>
      </rPr>
      <t xml:space="preserve">Dalrymple Battery storage: </t>
    </r>
    <r>
      <rPr>
        <sz val="9"/>
        <color theme="1"/>
        <rFont val="Arial"/>
        <family val="2"/>
      </rPr>
      <t>Dalrymple Battery storage (30 MW) is now reported as a committed project since ElectraNet advises that it has commenced construction.</t>
    </r>
  </si>
  <si>
    <r>
      <rPr>
        <b/>
        <sz val="9"/>
        <color theme="1"/>
        <rFont val="Arial"/>
        <family val="2"/>
      </rPr>
      <t xml:space="preserve">Torrens Island A Power Station: </t>
    </r>
    <r>
      <rPr>
        <sz val="9"/>
        <color theme="1"/>
        <rFont val="Arial"/>
        <family val="2"/>
      </rPr>
      <t>AGL Energy advises that the four units of Torrens Island A Power Station (480 MW) will be progressively mothballed between 2019 and 2021. Two units (240 MW) will be mothballed after winter 2019, one unit (120 MW) after winter 2020 and the final unit (120 MW) after winter 2021.</t>
    </r>
  </si>
  <si>
    <t xml:space="preserve">Generation withdrawals  </t>
  </si>
  <si>
    <t>AEMO has not been advised of any plant that are currently withdrawn from this region.</t>
  </si>
  <si>
    <t xml:space="preserve">Announced withdrawals (i.e. Mothballed, Seasonal Shut down etc.)           </t>
  </si>
  <si>
    <r>
      <rPr>
        <b/>
        <sz val="9"/>
        <color theme="1"/>
        <rFont val="Arial"/>
        <family val="2"/>
      </rPr>
      <t xml:space="preserve">Gas other: </t>
    </r>
    <r>
      <rPr>
        <sz val="9"/>
        <color theme="1"/>
        <rFont val="Arial"/>
        <family val="2"/>
      </rPr>
      <t>Torrens Island A Power Station (480 MW) will be progressively mothballed between 2019 and 2021. Two units (240 MW) will be mothballed after winter 2019, one unit (120 MW) after winter 2020 and the final unit (120 MW) after winter 2021.</t>
    </r>
  </si>
  <si>
    <t>Committed projects</t>
  </si>
  <si>
    <r>
      <rPr>
        <b/>
        <sz val="9"/>
        <rFont val="Arial"/>
        <family val="2"/>
      </rPr>
      <t xml:space="preserve">Coal, CCGT, OCGT, Gas other, Water, Biomass, Geo-thermal, Other : </t>
    </r>
    <r>
      <rPr>
        <sz val="9"/>
        <rFont val="Arial"/>
        <family val="2"/>
      </rPr>
      <t>None to report.</t>
    </r>
  </si>
  <si>
    <r>
      <rPr>
        <b/>
        <sz val="9"/>
        <rFont val="Arial"/>
        <family val="2"/>
      </rPr>
      <t>Gas other:</t>
    </r>
    <r>
      <rPr>
        <sz val="9"/>
        <rFont val="Arial"/>
        <family val="2"/>
      </rPr>
      <t xml:space="preserve"> Barker Inlet Power Station (210 MW)</t>
    </r>
  </si>
  <si>
    <t xml:space="preserve">Proposed projects </t>
  </si>
  <si>
    <t>Please refer to information presented in the worksheet titled 'New Developments'.</t>
  </si>
  <si>
    <t xml:space="preserve">Plant limitations </t>
  </si>
  <si>
    <t>AEMO has not been advised of any plant limitations for this region.</t>
  </si>
  <si>
    <t>South Australia existing and potential new developments by generation type (MW)</t>
  </si>
  <si>
    <t>South Australia Change Log</t>
  </si>
  <si>
    <t>Lists all key updates to new development projects and existing generation information between publication dates since the 2012 ESOO.</t>
  </si>
  <si>
    <t>Publication date:</t>
  </si>
  <si>
    <r>
      <rPr>
        <b/>
        <sz val="9"/>
        <rFont val="Arial"/>
        <family val="2"/>
      </rPr>
      <t>Snowtown S2:</t>
    </r>
    <r>
      <rPr>
        <sz val="9"/>
        <rFont val="Arial"/>
        <family val="2"/>
      </rPr>
      <t xml:space="preserve"> TrustPower advises that the Snowtown 2 project is now in a Committed status. Snowtown Stage 2 project will consist of two separately</t>
    </r>
  </si>
  <si>
    <t>metered wind farms, Snowtown 2 North (144 MW) and Snowtown 2 South (126 MW), sharing a single transmission line owned by TrustPower.</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</si>
  <si>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</si>
  <si>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</si>
  <si>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However should AEMO require it, Turbine 2 can be brought back into service, taking the longer-term availability of Playford B Power Station up to 200 MW.</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</si>
  <si>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</si>
  <si>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</si>
  <si>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</si>
  <si>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</si>
  <si>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</si>
  <si>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t>Port Macdonnell: Oceanlinx Limited advises that the Port Macdonnell (1 MW) wave energy project commissioning date was revised to March 2014.</t>
  </si>
  <si>
    <t xml:space="preserve">Port Macdonnell: Oceanlinx Limited advises that the future of the Port Macdonnell (1 MW) wave energy project is uncertain and rests with company receivers. This project remains as a committed project with a commissioning date to be advised. </t>
  </si>
  <si>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</si>
  <si>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</si>
  <si>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</si>
  <si>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</si>
  <si>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</si>
  <si>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r>
      <t xml:space="preserve">Torrens Island Power Station A: </t>
    </r>
    <r>
      <rPr>
        <sz val="9"/>
        <color theme="1"/>
        <rFont val="Arial"/>
        <family val="2"/>
      </rPr>
      <t>AGL Energy advises that Torrens Island Power Station is to be taken out of service in 2017.</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</si>
  <si>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</si>
  <si>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</si>
  <si>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</si>
  <si>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t xml:space="preserve">Northern Power Station: </t>
    </r>
    <r>
      <rPr>
        <sz val="9"/>
        <color theme="1"/>
        <rFont val="Arial"/>
        <family val="2"/>
      </rPr>
      <t>Alinta Energy advises that Northern Power Station (546 MW) is planned to cease generation around 31 March 2016.</t>
    </r>
  </si>
  <si>
    <r>
      <t xml:space="preserve">Playford B Power Station: </t>
    </r>
    <r>
      <rPr>
        <sz val="9"/>
        <color theme="1"/>
        <rFont val="Arial"/>
        <family val="2"/>
      </rPr>
      <t>Alinta Energy advises that Playford B Power Station (240 MW) is planned to cease generation around 31 March 2016.</t>
    </r>
  </si>
  <si>
    <r>
      <t xml:space="preserve">Pelican Point Power Station: </t>
    </r>
    <r>
      <rPr>
        <sz val="9"/>
        <rFont val="Arial"/>
        <family val="2"/>
      </rPr>
      <t>Pelican Point Power Limited advises Pelican Point Power Station’s available capacity has been reduced to 0 MW (-239 MW) in winter 2016 given the current dynamics and outlook in the electricity and gas markets.</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</si>
  <si>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</si>
  <si>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</si>
  <si>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</si>
  <si>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Hornsdale Wind Farm (Stage 1):</t>
    </r>
    <r>
      <rPr>
        <sz val="9"/>
        <rFont val="Arial"/>
        <family val="2"/>
      </rPr>
      <t xml:space="preserve"> HWF 1 Pty Ltd advises that Stage 1 of Hornsdale Wind Farm (102.4 MW) is a committed project. Full commercial operation is expected in November 2016.</t>
    </r>
  </si>
  <si>
    <r>
      <t xml:space="preserve">Northern Power Station: </t>
    </r>
    <r>
      <rPr>
        <sz val="9"/>
        <rFont val="Arial"/>
        <family val="2"/>
      </rPr>
      <t>Alinta Energy advises that Northern Power Station (546 MW) is planned to cease generation around March – May 2016.</t>
    </r>
  </si>
  <si>
    <r>
      <t xml:space="preserve">Playford B Power Station: </t>
    </r>
    <r>
      <rPr>
        <sz val="9"/>
        <color theme="1"/>
        <rFont val="Arial"/>
        <family val="2"/>
      </rPr>
      <t>Alinta Energy advises that Playford B Power Station (240 MW) is planned to will retire around March - May 2016.</t>
    </r>
  </si>
  <si>
    <r>
      <t xml:space="preserve">Northern Power Station: </t>
    </r>
    <r>
      <rPr>
        <sz val="9"/>
        <rFont val="Arial"/>
        <family val="2"/>
      </rPr>
      <t>Alinta Energy advises that Northern Power Station (546 MW)  has closed operations in May 2016.</t>
    </r>
  </si>
  <si>
    <r>
      <t xml:space="preserve">Playford B Power Station: </t>
    </r>
    <r>
      <rPr>
        <sz val="9"/>
        <color theme="1"/>
        <rFont val="Arial"/>
        <family val="2"/>
      </rPr>
      <t>Alinta Energy advises that Playford B Power Station (240 MW) has closed operations in May 2016.</t>
    </r>
  </si>
  <si>
    <r>
      <rPr>
        <b/>
        <sz val="9"/>
        <color theme="1"/>
        <rFont val="Arial"/>
        <family val="2"/>
      </rPr>
      <t>Torrens Island Power Station A</t>
    </r>
    <r>
      <rPr>
        <sz val="9"/>
        <color theme="1"/>
        <rFont val="Arial"/>
        <family val="2"/>
      </rPr>
      <t>: AGL Energy advises that it will defer the previously planned mothballing of four generating units from its Torrens Island A Power Station (480 MW) in June 2016.</t>
    </r>
  </si>
  <si>
    <r>
      <rPr>
        <b/>
        <sz val="9"/>
        <rFont val="Arial"/>
        <family val="2"/>
      </rPr>
      <t>Hornsdale Wind Farm (Stage 2):</t>
    </r>
    <r>
      <rPr>
        <sz val="9"/>
        <rFont val="Arial"/>
        <family val="2"/>
      </rPr>
      <t xml:space="preserve"> HWF 2 advises that Stage 2 of Hornsdale Wind Farm (102.4 MW) is a committed project.</t>
    </r>
  </si>
  <si>
    <r>
      <rPr>
        <b/>
        <sz val="9"/>
        <rFont val="Arial"/>
        <family val="2"/>
      </rPr>
      <t xml:space="preserve">Waterloo Expansion: </t>
    </r>
    <r>
      <rPr>
        <sz val="9"/>
        <color theme="1"/>
        <rFont val="Arial"/>
        <family val="2"/>
      </rPr>
      <t>Waterloo Windfarm Ptd Ltd. advises that Waterloo Expansion Wind Farm                    (19.8 MW) is a committed project.</t>
    </r>
  </si>
  <si>
    <r>
      <t>Angaston:</t>
    </r>
    <r>
      <rPr>
        <sz val="9"/>
        <color theme="1"/>
        <rFont val="Arial"/>
        <family val="2"/>
      </rPr>
      <t xml:space="preserve"> Lumo Generation SA Pty Ltd. advises that Angaston Power Station (50 MW) has changed registration status from Non-Scheduled to Scheduled.</t>
    </r>
  </si>
  <si>
    <r>
      <t xml:space="preserve">New Development: </t>
    </r>
    <r>
      <rPr>
        <sz val="9"/>
        <rFont val="Arial"/>
        <family val="2"/>
      </rPr>
      <t>Aurora Solar Energy Project, Bungala Solar Power Project, Port Augusta Solar, Yorke Peninsula Biomass.</t>
    </r>
  </si>
  <si>
    <r>
      <t>Hornsdale Wind Farm Stage 1:</t>
    </r>
    <r>
      <rPr>
        <sz val="9"/>
        <color theme="1"/>
        <rFont val="Arial"/>
        <family val="2"/>
      </rPr>
      <t xml:space="preserve">  HWF1 Pty Ltd advises that Hornsdale Wind Farm Stage 1 (102.4 MW) is now completed and undergoing commissioning tests.</t>
    </r>
  </si>
  <si>
    <r>
      <t>Waterloo:</t>
    </r>
    <r>
      <rPr>
        <sz val="9"/>
        <rFont val="Arial"/>
        <family val="2"/>
      </rPr>
      <t xml:space="preserve"> Waterloo Windfarm Pty Ltd advises that the Waterloo Wind Farm expansion (+19.8 MW) is now completed and undergoing commissioning tests.</t>
    </r>
  </si>
  <si>
    <r>
      <rPr>
        <b/>
        <sz val="9"/>
        <color theme="1"/>
        <rFont val="Arial"/>
        <family val="2"/>
      </rPr>
      <t xml:space="preserve">Hornsdale Wind Farm Stage 2: </t>
    </r>
    <r>
      <rPr>
        <sz val="9"/>
        <color theme="1"/>
        <rFont val="Arial"/>
        <family val="2"/>
      </rPr>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r>
  </si>
  <si>
    <r>
      <rPr>
        <b/>
        <sz val="9"/>
        <color theme="1"/>
        <rFont val="Arial"/>
        <family val="2"/>
      </rPr>
      <t>Bungala Solar Power Project:</t>
    </r>
    <r>
      <rPr>
        <sz val="9"/>
        <color theme="1"/>
        <rFont val="Arial"/>
        <family val="2"/>
      </rPr>
      <t> Reach Solar Management Co advises that Bungala Solar Power Project (220 MW) is now a committed project.</t>
    </r>
  </si>
  <si>
    <r>
      <rPr>
        <b/>
        <sz val="9"/>
        <color theme="1"/>
        <rFont val="Arial"/>
        <family val="2"/>
      </rPr>
      <t>Hornsdale Wind Farm Stage 3:</t>
    </r>
    <r>
      <rPr>
        <sz val="9"/>
        <color theme="1"/>
        <rFont val="Arial"/>
        <family val="2"/>
      </rPr>
      <t xml:space="preserve"> HWF 3 Pty Ltd advises that Hornsdale Wind Farm Stage 3 (109 MW) is now a committed project.</t>
    </r>
  </si>
  <si>
    <r>
      <rPr>
        <b/>
        <sz val="9"/>
        <color theme="1"/>
        <rFont val="Arial"/>
        <family val="2"/>
      </rPr>
      <t>Pelican Point:</t>
    </r>
    <r>
      <rPr>
        <sz val="9"/>
        <color theme="1"/>
        <rFont val="Arial"/>
        <family val="2"/>
      </rPr>
      <t xml:space="preserve"> Pelican Point Power Limited advises that Pelican Point (478 MW) is currently operating at half capacity (239 MW), but will make the full capacity available to market as of July 1 2017.</t>
    </r>
  </si>
  <si>
    <r>
      <rPr>
        <b/>
        <sz val="9"/>
        <color theme="1"/>
        <rFont val="Arial"/>
        <family val="2"/>
      </rPr>
      <t xml:space="preserve">Hornsdale Wind Farm Stage 2: </t>
    </r>
    <r>
      <rPr>
        <sz val="9"/>
        <color theme="1"/>
        <rFont val="Arial"/>
        <family val="2"/>
      </rPr>
      <t>HWF2 Pty Ltd advises that Hornsdale Wind Farm Stage 2 (102 MW) is operational.</t>
    </r>
  </si>
  <si>
    <r>
      <rPr>
        <b/>
        <sz val="9"/>
        <color theme="1"/>
        <rFont val="Arial"/>
        <family val="2"/>
      </rPr>
      <t xml:space="preserve">Hornsdale Wind Farm Stage 3: </t>
    </r>
    <r>
      <rPr>
        <sz val="9"/>
        <color theme="1"/>
        <rFont val="Arial"/>
        <family val="2"/>
      </rPr>
      <t>HWF3 Pty Ltd advises that Hornsdale Wind Farm Stage 3 (109 MW) is operational.</t>
    </r>
  </si>
  <si>
    <r>
      <t xml:space="preserve">Hornsdale Power Reserve: </t>
    </r>
    <r>
      <rPr>
        <sz val="9"/>
        <color theme="1"/>
        <rFont val="Arial"/>
        <family val="2"/>
      </rPr>
      <t>Hornsdale Power Reserve Pty Ltd advises that Hornsdale Power Reserve Unit 1 (100 MW / 129 MWh) battery storage is operational.</t>
    </r>
  </si>
  <si>
    <r>
      <t xml:space="preserve">Lincoln Gap Wind Farm Stage 1: </t>
    </r>
    <r>
      <rPr>
        <sz val="9"/>
        <color theme="1"/>
        <rFont val="Arial"/>
        <family val="2"/>
      </rPr>
      <t xml:space="preserve">Lincoln Gap Wind Farm Pty Ltd advises that Lincoln Gap Wind Farm Stage 1 (126 MW)  is now a committed project. </t>
    </r>
  </si>
  <si>
    <r>
      <t>Willogoleche Wind Farm:</t>
    </r>
    <r>
      <rPr>
        <sz val="9"/>
        <color theme="1"/>
        <rFont val="Arial"/>
        <family val="2"/>
      </rPr>
      <t xml:space="preserve"> Willogoleche Power Pty Ltd advises that Willogoleche Wind Farm (119 MW) is now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</si>
  <si>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</si>
  <si>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</si>
  <si>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</si>
  <si>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</si>
  <si>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</si>
  <si>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</si>
  <si>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</si>
  <si>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</si>
  <si>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</si>
  <si>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</si>
  <si>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</si>
  <si>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</si>
  <si>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</si>
  <si>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</si>
  <si>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</si>
  <si>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</si>
  <si>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</si>
  <si>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</si>
  <si>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</si>
  <si>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</si>
  <si>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</si>
  <si>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</si>
  <si>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</si>
  <si>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</si>
  <si>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</si>
  <si>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</si>
  <si>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</si>
  <si>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</si>
  <si>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Tailem Bend - Solar :</t>
    </r>
    <r>
      <rPr>
        <sz val="9"/>
        <rFont val="Arial"/>
        <family val="2"/>
      </rPr>
      <t xml:space="preserve"> Vena Energy advises that Tailem Bend - Solar (108 MW) is now a committed project.</t>
    </r>
  </si>
  <si>
    <t>Adelaide Zoo Solar System</t>
  </si>
  <si>
    <t>PV Panels</t>
  </si>
  <si>
    <t>NAWMA - LFG - SOLAR</t>
  </si>
  <si>
    <t>Northern Adelaide Waste Management Authority</t>
  </si>
  <si>
    <t>Solar + methane</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</si>
  <si>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</si>
  <si>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</si>
  <si>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</si>
  <si>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</si>
  <si>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</si>
  <si>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</si>
  <si>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</si>
  <si>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</si>
  <si>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</si>
  <si>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</si>
  <si>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</si>
  <si>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</si>
  <si>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</si>
  <si>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</si>
  <si>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Summer aggregate available scheduled and semi-scheduled generation</t>
  </si>
  <si>
    <t>PowerStation</t>
  </si>
  <si>
    <t>FuelType</t>
  </si>
  <si>
    <t>Season</t>
  </si>
  <si>
    <t>Fossil</t>
  </si>
  <si>
    <t>summer</t>
  </si>
  <si>
    <t>Bungala Three Solar Power Plant</t>
  </si>
  <si>
    <t>Hallett Repower</t>
  </si>
  <si>
    <t>The table above lists the latest Summer capacities for South Australian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</si>
  <si>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9.4% of the installed capacity during summer, and 6.7%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</si>
  <si>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South Australia. Thus the Firm Solar Capacity values in the table below are shown as NA, and do not contribute to the total capacity in that table.</t>
  </si>
  <si>
    <t>The two tables below have been included to better represent the supply availability in South Australia,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</si>
  <si>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</si>
  <si>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</si>
  <si>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</si>
  <si>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NA</t>
  </si>
  <si>
    <t>Summer aggregate available semi-scheduled generation</t>
  </si>
  <si>
    <t>Total (Wind)</t>
  </si>
  <si>
    <t>Total (Solar)</t>
  </si>
  <si>
    <t>Winter aggregate available scheduled and semi-scheduled generation</t>
  </si>
  <si>
    <t>winter</t>
  </si>
  <si>
    <t>The table above lists the latest Winter capacities for South Australian generation. Winter conditions relate to statistically predicted contribution under 10% POE maximum demand conditions.</t>
  </si>
  <si>
    <t>The two tables below have been included to better represent the supply availability in South Australia,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</si>
  <si>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</si>
  <si>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</si>
  <si>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Carmody's Hill</t>
  </si>
  <si>
    <t>Greenfield - need to secure land agreements</t>
  </si>
  <si>
    <t>140 - 175</t>
  </si>
  <si>
    <t>Pelican Point S2</t>
  </si>
  <si>
    <t>1
2</t>
  </si>
  <si>
    <t>Quarantine Expansion</t>
  </si>
  <si>
    <t>Origin Energy</t>
  </si>
  <si>
    <t>QPS6-8</t>
  </si>
  <si>
    <t>Spencer Gulf Pumped Storage Hydro</t>
  </si>
  <si>
    <t>to be determined</t>
  </si>
  <si>
    <t>SSE Whyalla Solar Farm</t>
  </si>
  <si>
    <t>SSE Australia Pty Ltd</t>
  </si>
  <si>
    <t>Inverters 1-180</t>
  </si>
  <si>
    <t>Spark Ignition  Reciprocating Engine</t>
  </si>
  <si>
    <t>Battery Storage</t>
  </si>
  <si>
    <t>Source</t>
  </si>
  <si>
    <t>https://aurorasolarthermal.com.au/</t>
  </si>
  <si>
    <t>http://www.alturagroup.com.au/our-projects-goat-hill/</t>
  </si>
  <si>
    <t>http://www.lcke.com.au/</t>
  </si>
  <si>
    <t>http://lincolngapwindfarm.com.au/about-the-project/</t>
  </si>
  <si>
    <t>Planet Ark Power and Schneider Electric - PV and Battery Microgrid</t>
  </si>
  <si>
    <t>Planet Ark Power and Schneider Electric</t>
  </si>
  <si>
    <t>5.7</t>
  </si>
  <si>
    <t>http://www.dpenergy.com/hybrid/port-augusta-renewable-energy-park/</t>
  </si>
  <si>
    <t>https://www.alintaenergy.com.au/about-us/power-generation/reeves-plains-power-station-proposal</t>
  </si>
  <si>
    <t>UniSA Solar project</t>
  </si>
  <si>
    <t>University of South Australia</t>
  </si>
  <si>
    <t>1.8</t>
  </si>
  <si>
    <t>https://www.infigenenergy.com/about-us/news/woakwine-wind-farm-development-approval/</t>
  </si>
  <si>
    <t>Quarantine (repower)</t>
  </si>
  <si>
    <t xml:space="preserve">Origin Energy Power Limited </t>
  </si>
  <si>
    <t>4</t>
  </si>
  <si>
    <t>Dec-2018</t>
  </si>
  <si>
    <r>
      <rPr>
        <b/>
        <sz val="9"/>
        <color theme="1"/>
        <rFont val="Arial"/>
        <family val="2"/>
      </rPr>
      <t>Barker Inlet Power Station:</t>
    </r>
    <r>
      <rPr>
        <sz val="9"/>
        <color theme="1"/>
        <rFont val="Arial"/>
        <family val="2"/>
      </rPr>
      <t xml:space="preserve"> Barker Inlet Power Station (210 MW) is now reported as a committed project since AGL advises that it has commenced construction.</t>
    </r>
  </si>
  <si>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</si>
  <si>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</si>
  <si>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</si>
  <si>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</si>
  <si>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</si>
  <si>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</si>
  <si>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</si>
  <si>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</si>
  <si>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54 x 2.5</t>
  </si>
  <si>
    <t>Temporary Generation North</t>
  </si>
  <si>
    <t>Temporary Generation South</t>
  </si>
  <si>
    <t>2019</t>
  </si>
  <si>
    <t>2020</t>
  </si>
  <si>
    <t>2021</t>
  </si>
  <si>
    <t>2022</t>
  </si>
  <si>
    <t>2023</t>
  </si>
  <si>
    <t>2024</t>
  </si>
  <si>
    <t>2025</t>
  </si>
  <si>
    <t>2026</t>
  </si>
  <si>
    <t>2027</t>
  </si>
  <si>
    <t>2028</t>
  </si>
  <si>
    <t/>
  </si>
  <si>
    <t>Bungama Solar</t>
  </si>
  <si>
    <t>280</t>
  </si>
  <si>
    <t>https://www.bungamasolar.com.au/</t>
  </si>
  <si>
    <t>Heathgate Resources Beverley mine - BESS</t>
  </si>
  <si>
    <t>SunSHIFT</t>
  </si>
  <si>
    <t>1 MW / 0.5 MWh</t>
  </si>
  <si>
    <t>http://www.laingorourke.com/media/news-releases/2017/sunshift-welcomes-government-funding-for-innovative-energy-storage-solutions.aspx</t>
  </si>
  <si>
    <t>Pallamana Solar Farm</t>
  </si>
  <si>
    <t>RES Australia Pty Ltd</t>
  </si>
  <si>
    <t>176</t>
  </si>
  <si>
    <t>http://www.pallamana-solarfarm.com/</t>
  </si>
  <si>
    <t>320</t>
  </si>
  <si>
    <t>SA Water PV Plant</t>
  </si>
  <si>
    <t>152</t>
  </si>
  <si>
    <t>https://www.sawater.com.au/news/solar-to-generate-water-savings</t>
  </si>
  <si>
    <t>225</t>
  </si>
  <si>
    <t>The Solar River Project - Stage 1</t>
  </si>
  <si>
    <t>The Solar River Project Pty Ltd</t>
  </si>
  <si>
    <t>200</t>
  </si>
  <si>
    <t>http://www.srproject.com.au/</t>
  </si>
  <si>
    <t>The Solar River Project - Stage 2</t>
  </si>
  <si>
    <t>Twin Creek Wind Farm</t>
  </si>
  <si>
    <t>183.6</t>
  </si>
  <si>
    <t>http://www.twincreek-windfarm.com/</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</si>
  <si>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</si>
  <si>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</si>
  <si>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</si>
  <si>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</si>
  <si>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</si>
  <si>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</si>
  <si>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</si>
  <si>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</si>
  <si>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</si>
  <si>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</si>
  <si>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</si>
  <si>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</si>
  <si>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</si>
  <si>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</si>
  <si>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</si>
  <si>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</si>
  <si>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t>AGL VPP</t>
  </si>
  <si>
    <t>Virtual Power Plant</t>
  </si>
  <si>
    <t>5</t>
  </si>
  <si>
    <t>https://arena.gov.au/projects/agl-virtual-power-plant/</t>
  </si>
  <si>
    <t>80</t>
  </si>
  <si>
    <t>EPS Energy</t>
  </si>
  <si>
    <t>SA Government Virtual Power Plant - stage 2</t>
  </si>
  <si>
    <t>101 - 1000</t>
  </si>
  <si>
    <t>4.5</t>
  </si>
  <si>
    <t>Simply Energy VPP</t>
  </si>
  <si>
    <t>Simply Energy</t>
  </si>
  <si>
    <t>6</t>
  </si>
  <si>
    <t>https://arena.gov.au/projects/simply-energy-virtual-power-plant-vpp/</t>
  </si>
  <si>
    <t>Unit Number and Nameplate Capacity (MW)</t>
  </si>
  <si>
    <t>Clements Gap Wind Farm</t>
  </si>
  <si>
    <t xml:space="preserve">100 MW / _x000D_
129 MWh_x000D_
</t>
  </si>
  <si>
    <t>Snowtown S2 Wind Farm</t>
  </si>
  <si>
    <t>Snowtown Wind Farm</t>
  </si>
  <si>
    <t>4 x 120</t>
  </si>
  <si>
    <t>Waterloo Wind Farm</t>
  </si>
  <si>
    <t>https://www.tiltrenewables.com/assets-and-projects/highbury-pumped-hydro-energy-storage/</t>
  </si>
  <si>
    <t>Kingfisher Solar Storage - Solar</t>
  </si>
  <si>
    <t>Kingfisher Solar Storage - Storage</t>
  </si>
  <si>
    <t>100 MW / 400 MWh</t>
  </si>
  <si>
    <t>http://www.lyoninfrastructure.com.au/projects/kingfisher-solar-storage/</t>
  </si>
  <si>
    <t>Riverland Solar Storage - Solar</t>
  </si>
  <si>
    <t>Riverland Solar Storage - Storage</t>
  </si>
  <si>
    <t>http://www.lyoninfrastructure.com.au/projects/riverland-solar-storage/</t>
  </si>
  <si>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</si>
  <si>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r>
  </si>
  <si>
    <t>Note: Updated “Background Information” with changes to categories of proposed generation in the NEM.</t>
  </si>
  <si>
    <r>
      <t xml:space="preserve">ESCRI Dalrymple: </t>
    </r>
    <r>
      <rPr>
        <sz val="9"/>
        <rFont val="Arial"/>
        <family val="2"/>
      </rPr>
      <t>ElectraNet advises that ESCRI Dalrymple (30MW/8MWh) is operational.</t>
    </r>
  </si>
  <si>
    <t>12 x 2.5</t>
  </si>
  <si>
    <t>201819</t>
  </si>
  <si>
    <t>201920</t>
  </si>
  <si>
    <t>202021</t>
  </si>
  <si>
    <t>202122</t>
  </si>
  <si>
    <t>202223</t>
  </si>
  <si>
    <t>202324</t>
  </si>
  <si>
    <t>202425</t>
  </si>
  <si>
    <t>202526</t>
  </si>
  <si>
    <t>202627</t>
  </si>
  <si>
    <t>202728</t>
  </si>
  <si>
    <t>2 x 25
1 x 23.5</t>
  </si>
  <si>
    <t>4 x 24
1 x 128</t>
  </si>
  <si>
    <t>Com* - Identifies projects that are under construction, but AEMO has not been informed that the project meets all  commitment criteria.</t>
  </si>
  <si>
    <t>Pumped Storage</t>
  </si>
  <si>
    <t>Water*</t>
  </si>
  <si>
    <t>N/A</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</si>
  <si>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</si>
  <si>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2 x 264.5</t>
  </si>
  <si>
    <t>Battery</t>
  </si>
  <si>
    <t>Willogoleche Wind Farm</t>
  </si>
  <si>
    <t>Jan 2019</t>
  </si>
  <si>
    <t>March 2019</t>
  </si>
  <si>
    <r>
      <rPr>
        <b/>
        <sz val="9"/>
        <rFont val="Arial"/>
        <family val="2"/>
      </rPr>
      <t>Lake Bonney Battery Energy Storage:</t>
    </r>
    <r>
      <rPr>
        <sz val="9"/>
        <rFont val="Arial"/>
        <family val="2"/>
      </rPr>
      <t xml:space="preserve"> Lake Bonney Battery Energy Storage (25 MW/ 52MWh) is now reported as committed since Infigen Energy advises that it has commenced construction.</t>
    </r>
  </si>
  <si>
    <t xml:space="preserve">Lake Bonney Battery Energy Storage </t>
  </si>
  <si>
    <t>Lake Bonney Battery Energy Storage</t>
  </si>
  <si>
    <r>
      <rPr>
        <b/>
        <sz val="9"/>
        <color rgb="FF000000"/>
        <rFont val="Arial"/>
        <family val="2"/>
      </rPr>
      <t>Pelican Point</t>
    </r>
    <r>
      <rPr>
        <sz val="9"/>
        <color rgb="FF000000"/>
        <rFont val="Arial"/>
        <family val="2"/>
      </rPr>
      <t>: Pelican Point Power Limited advises that Pelican Point Nameplate capacity has been revised from 478 MW to 529 MW (+51 MW). The available capacity has been revised from 458 MW to 478 MW (+20 MW) in summer, and from 474 MW to 529 MW (+55 MW) in winter.</t>
    </r>
  </si>
  <si>
    <t>119.4</t>
  </si>
  <si>
    <t>SA Power Networks advises that the availability of the facility has not changed, i.e. the units are only available for direction by AEMO or the SA Minister for Energy and Mining</t>
  </si>
  <si>
    <r>
      <rPr>
        <b/>
        <sz val="9"/>
        <rFont val="Arial"/>
        <family val="2"/>
      </rPr>
      <t>Temporary Generation North and Temporary Generation South</t>
    </r>
    <r>
      <rPr>
        <sz val="9"/>
        <rFont val="Arial"/>
        <family val="2"/>
      </rPr>
      <t>:</t>
    </r>
    <r>
      <rPr>
        <sz val="9"/>
        <color rgb="FF000000"/>
        <rFont val="Arial"/>
        <family val="2"/>
      </rPr>
      <t xml:space="preserve"> SA Power Networks advises that Temporary Generation North (154 MW) and Temporary Generation South (123.2 MW) has changed registration status from Scheduled to Non-Scheduled.</t>
    </r>
  </si>
  <si>
    <r>
      <t>Bungala Two Solar Farm:</t>
    </r>
    <r>
      <rPr>
        <sz val="9"/>
        <color rgb="FF000000"/>
        <rFont val="Arial"/>
        <family val="2"/>
      </rPr>
      <t xml:space="preserve"> Enel Green Power advises that Bungala Two Solar Farm (110 MW) is now a committed project</t>
    </r>
  </si>
  <si>
    <t>Closure Date</t>
  </si>
  <si>
    <t>Hallett Repower (expansion)</t>
  </si>
  <si>
    <t>Unit 1-3</t>
  </si>
  <si>
    <t>35</t>
  </si>
  <si>
    <t>https://www.energyaustralia.com.au/about-us/energy-generation/hallett-power-station</t>
  </si>
  <si>
    <t>Jan 2020</t>
  </si>
  <si>
    <t>Baroota Pumped Hydro Project</t>
  </si>
  <si>
    <t>Rise Renewables</t>
  </si>
  <si>
    <t>200-270 MW / 2000 MWh</t>
  </si>
  <si>
    <t>https://riserenewables.com.au/projects/baroota-hydro-mid-north-port-pirie-energy-electricity-project/</t>
  </si>
  <si>
    <t>Bridle Track Solar Project</t>
  </si>
  <si>
    <t>https://riserenewables.com.au/projects/bridle-track-solar-mid-north-port-pirie-energy-electricity-project/</t>
  </si>
  <si>
    <r>
      <t xml:space="preserve">Wind: </t>
    </r>
    <r>
      <rPr>
        <sz val="9"/>
        <rFont val="Arial"/>
        <family val="2"/>
      </rPr>
      <t>Lincoln Gap Wind Farm Stage 1 (126 MW), Willogoleche Wind Farm (119.4 MW)</t>
    </r>
  </si>
  <si>
    <r>
      <t xml:space="preserve">Storage: </t>
    </r>
    <r>
      <rPr>
        <sz val="9"/>
        <rFont val="Arial"/>
        <family val="2"/>
      </rPr>
      <t>Lake Bonney Battery Energy Storage (25 MW/ 52MWh)</t>
    </r>
  </si>
  <si>
    <t>25 MW / 52 MWh</t>
  </si>
  <si>
    <r>
      <t xml:space="preserve">Willogoleche Wind Farm: </t>
    </r>
    <r>
      <rPr>
        <sz val="9"/>
        <color rgb="FF000000"/>
        <rFont val="Arial"/>
        <family val="2"/>
      </rPr>
      <t>AEMO advises that due to an error, the Nameplate Capacity of Willogoleche Wind Farm (previously 95-125 MW) has been corrected to Willogoleche Wind Farm (119.4 MW)</t>
    </r>
  </si>
  <si>
    <t>Unit Id</t>
  </si>
  <si>
    <t>May 2019</t>
  </si>
  <si>
    <t>BHP Olympic Dam Backup Generation</t>
  </si>
  <si>
    <t>BHP Billiton</t>
  </si>
  <si>
    <r>
      <t xml:space="preserve">BHP Olympic Dam Backup Generation: </t>
    </r>
    <r>
      <rPr>
        <sz val="9"/>
        <color rgb="FF000000"/>
        <rFont val="Arial"/>
        <family val="2"/>
      </rPr>
      <t xml:space="preserve">BHP Billiton advises that BHP Olympic Dam Backup Generation (30 MW) is installed for emergency back-up supplies to the Olympic Dam Plant and township of Roxby Downs  </t>
    </r>
  </si>
  <si>
    <r>
      <t>Bungala Two Solar Farm:</t>
    </r>
    <r>
      <rPr>
        <sz val="9"/>
        <color rgb="FF000000"/>
        <rFont val="Arial"/>
        <family val="2"/>
      </rPr>
      <t xml:space="preserve"> Enel Green Power advises that Bungala Two Solar Farm (110 MW) is now a committed project.</t>
    </r>
  </si>
  <si>
    <r>
      <t xml:space="preserve">Willogoleche Wind Farm: </t>
    </r>
    <r>
      <rPr>
        <sz val="9"/>
        <color rgb="FF000000"/>
        <rFont val="Arial"/>
        <family val="2"/>
      </rPr>
      <t>AEMO advises that due to an error, the Nameplate Capacity of Willogoleche Wind Farm (previously 95-125 MW) has been corrected to Willogoleche Wind Farm (119.4 MW).</t>
    </r>
  </si>
  <si>
    <r>
      <t xml:space="preserve">BHP Olympic Dam Backup Generation: </t>
    </r>
    <r>
      <rPr>
        <sz val="9"/>
        <color rgb="FF000000"/>
        <rFont val="Arial"/>
        <family val="2"/>
      </rPr>
      <t xml:space="preserve">BHP Billiton advises that BHP Olympic Dam Backup Generation (30 MW) is installed for emergency back-up supplies to the Olympic Dam Plant and township of Roxby Downs. </t>
    </r>
  </si>
  <si>
    <t>Data presented is current as at 21 January 2019</t>
  </si>
  <si>
    <t>120</t>
  </si>
  <si>
    <t>Dec 2022</t>
  </si>
  <si>
    <t>1 x 108</t>
  </si>
  <si>
    <r>
      <rPr>
        <b/>
        <sz val="9"/>
        <color rgb="FFF47321"/>
        <rFont val="Arial"/>
        <family val="2"/>
      </rPr>
      <t>Amendment:</t>
    </r>
    <r>
      <rPr>
        <b/>
        <sz val="9"/>
        <rFont val="Arial"/>
        <family val="2"/>
      </rPr>
      <t xml:space="preserve">  10-May-19</t>
    </r>
  </si>
  <si>
    <r>
      <t>Tailem Bend - Solar :</t>
    </r>
    <r>
      <rPr>
        <sz val="9"/>
        <rFont val="Arial"/>
        <family val="2"/>
      </rPr>
      <t xml:space="preserve"> Vena Energy advises that Tailem Bend - Solar (108MW) is operational.</t>
    </r>
  </si>
  <si>
    <r>
      <t>Solar:</t>
    </r>
    <r>
      <rPr>
        <sz val="9"/>
        <rFont val="Arial"/>
        <family val="2"/>
      </rPr>
      <t xml:space="preserve"> Bungala Two Solar Power Project (110 MW)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</si>
</sst>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color theme="1"/>
      <name val="Arial"/>
      <family val="2"/>
    </font>
    <font>
      <b/>
      <sz val="9"/>
      <color theme="1"/>
      <name val="Arial"/>
      <family val="2"/>
    </font>
    <font>
      <sz val="11"/>
      <color rgb="FF0000FF"/>
      <name val="Calibri"/>
      <family val="2"/>
      <scheme val="minor"/>
    </font>
    <font>
      <b/>
      <sz val="9"/>
      <color rgb="FFF47321"/>
      <name val="Arial"/>
      <family val="2"/>
    </font>
    <font>
      <sz val="9"/>
      <name val="Arial"/>
      <family val="2"/>
    </font>
    <font>
      <b/>
      <sz val="9"/>
      <name val="Arial"/>
      <family val="2"/>
    </font>
    <font>
      <sz val="9"/>
      <color theme="1"/>
      <name val="Symbol"/>
      <family val="1"/>
      <charset val="2"/>
    </font>
    <font>
      <sz val="11"/>
      <color rgb="FF009900"/>
      <name val="Arial"/>
      <family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sz val="11"/>
      <name val="Calibri"/>
      <family val="2"/>
      <scheme val="minor"/>
    </font>
    <font>
      <sz val="10"/>
      <color rgb="FF0000FF"/>
      <name val="Calibri"/>
      <family val="2"/>
      <scheme val="minor"/>
    </font>
    <font>
      <b/>
      <sz val="8"/>
      <color theme="1"/>
      <name val="Arial"/>
      <family val="2"/>
    </font>
    <font>
      <sz val="9"/>
      <color rgb="FF000000"/>
      <name val="Arial"/>
      <family val="2"/>
    </font>
    <font>
      <b/>
      <sz val="9"/>
      <color rgb="FF000000"/>
      <name val="Arial"/>
      <family val="2"/>
    </font>
    <font>
      <sz val="12"/>
      <color rgb="FF000000"/>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bottom/>
      <diagonal/>
    </border>
  </borders>
  <cellStyleXfs count="5">
    <xf numFmtId="0" fontId="0" fillId="0" borderId="0"/>
    <xf numFmtId="43" fontId="8" fillId="0" borderId="0" applyFont="0" applyFill="0" applyBorder="0" applyAlignment="0" applyProtection="0"/>
    <xf numFmtId="0" fontId="10" fillId="0" borderId="0" applyNumberFormat="0" applyFill="0" applyBorder="0" applyAlignment="0" applyProtection="0"/>
    <xf numFmtId="0" fontId="29" fillId="0" borderId="0"/>
    <xf numFmtId="0" fontId="8" fillId="0" borderId="0"/>
  </cellStyleXfs>
  <cellXfs count="189">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xf numFmtId="0" fontId="4" fillId="7" borderId="1"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8"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8"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8" xfId="0" applyNumberFormat="1" applyFont="1" applyFill="1" applyBorder="1" applyAlignment="1">
      <alignment horizontal="center" vertical="center"/>
    </xf>
    <xf numFmtId="0" fontId="7" fillId="0" borderId="0" xfId="0" applyFont="1"/>
    <xf numFmtId="0" fontId="0" fillId="0" borderId="0" xfId="0"/>
    <xf numFmtId="0" fontId="5" fillId="0" borderId="4" xfId="0" applyFont="1" applyBorder="1" applyAlignment="1"/>
    <xf numFmtId="0" fontId="5" fillId="0" borderId="0" xfId="0" applyFont="1" applyBorder="1" applyAlignment="1"/>
    <xf numFmtId="0" fontId="5" fillId="0" borderId="11" xfId="0" applyFont="1" applyBorder="1" applyAlignment="1"/>
    <xf numFmtId="0" fontId="11" fillId="0" borderId="0" xfId="2" applyFont="1" applyBorder="1" applyAlignment="1">
      <alignment horizontal="left"/>
    </xf>
    <xf numFmtId="0" fontId="12" fillId="0" borderId="0" xfId="0" applyFont="1" applyBorder="1" applyAlignment="1">
      <alignment horizontal="left"/>
    </xf>
    <xf numFmtId="0" fontId="0" fillId="9" borderId="0" xfId="0" applyFill="1"/>
    <xf numFmtId="0" fontId="13" fillId="9" borderId="0" xfId="0" applyFont="1" applyFill="1" applyAlignment="1">
      <alignment horizontal="left" vertical="center"/>
    </xf>
    <xf numFmtId="0" fontId="14" fillId="9" borderId="0" xfId="0" applyFont="1" applyFill="1" applyAlignment="1">
      <alignment horizontal="left" wrapText="1"/>
    </xf>
    <xf numFmtId="0" fontId="16" fillId="0" borderId="0" xfId="0" applyFont="1" applyFill="1" applyAlignment="1"/>
    <xf numFmtId="0" fontId="0" fillId="0" borderId="0" xfId="0" applyFill="1"/>
    <xf numFmtId="0" fontId="17" fillId="0" borderId="0" xfId="0" applyFont="1" applyFill="1" applyAlignment="1">
      <alignment vertical="center"/>
    </xf>
    <xf numFmtId="0" fontId="18" fillId="9" borderId="0" xfId="0" applyFont="1" applyFill="1" applyAlignment="1">
      <alignment vertical="center"/>
    </xf>
    <xf numFmtId="0" fontId="19" fillId="9" borderId="0" xfId="0" applyFont="1" applyFill="1" applyAlignment="1">
      <alignment vertical="center" wrapText="1"/>
    </xf>
    <xf numFmtId="0" fontId="16" fillId="9" borderId="0" xfId="0" applyFont="1" applyFill="1" applyAlignment="1"/>
    <xf numFmtId="0" fontId="13"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8" fillId="0" borderId="0" xfId="0" applyFont="1" applyFill="1"/>
    <xf numFmtId="0" fontId="13" fillId="0" borderId="0" xfId="0" applyFont="1" applyFill="1" applyAlignment="1">
      <alignment horizontal="left" vertical="center"/>
    </xf>
    <xf numFmtId="0" fontId="18" fillId="9" borderId="0" xfId="0" applyFont="1" applyFill="1"/>
    <xf numFmtId="0" fontId="20" fillId="0" borderId="0" xfId="0" applyFont="1" applyFill="1" applyAlignment="1">
      <alignment horizontal="left" vertical="center" indent="2"/>
    </xf>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15" fontId="15" fillId="9" borderId="0" xfId="0" applyNumberFormat="1" applyFont="1" applyFill="1"/>
    <xf numFmtId="0" fontId="21" fillId="9" borderId="0" xfId="0" applyFont="1" applyFill="1"/>
    <xf numFmtId="0" fontId="19" fillId="9" borderId="0" xfId="0" applyFont="1" applyFill="1" applyAlignment="1">
      <alignment vertical="center"/>
    </xf>
    <xf numFmtId="0" fontId="18" fillId="0" borderId="0" xfId="0" applyFont="1" applyFill="1" applyAlignment="1">
      <alignment vertical="center" wrapText="1"/>
    </xf>
    <xf numFmtId="0" fontId="18" fillId="9" borderId="0" xfId="0" applyFont="1" applyFill="1" applyAlignment="1">
      <alignment horizontal="left" vertical="center" wrapText="1"/>
    </xf>
    <xf numFmtId="0" fontId="15" fillId="0" borderId="0" xfId="0" applyFont="1" applyFill="1" applyAlignment="1">
      <alignment horizontal="left" vertical="center" wrapText="1"/>
    </xf>
    <xf numFmtId="0" fontId="14" fillId="9" borderId="0" xfId="0" applyFont="1" applyFill="1" applyAlignment="1">
      <alignment horizontal="left" wrapText="1"/>
    </xf>
    <xf numFmtId="0" fontId="0" fillId="0" borderId="0" xfId="0"/>
    <xf numFmtId="0" fontId="0" fillId="0" borderId="0" xfId="0"/>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0" fillId="9" borderId="0" xfId="0" applyFont="1" applyFill="1" applyAlignment="1">
      <alignment horizontal="left" indent="3"/>
    </xf>
    <xf numFmtId="0" fontId="30" fillId="9" borderId="0" xfId="0" applyFont="1" applyFill="1"/>
    <xf numFmtId="0" fontId="30" fillId="9" borderId="0" xfId="0" applyFont="1" applyFill="1" applyAlignment="1">
      <alignment horizontal="left" indent="1"/>
    </xf>
    <xf numFmtId="0" fontId="32" fillId="2" borderId="1" xfId="0" applyFont="1" applyFill="1" applyBorder="1" applyAlignment="1">
      <alignment horizontal="center" vertical="center" wrapText="1"/>
    </xf>
    <xf numFmtId="0" fontId="1" fillId="9" borderId="1" xfId="0" applyFont="1" applyFill="1" applyBorder="1" applyAlignment="1">
      <alignment horizontal="left"/>
    </xf>
    <xf numFmtId="3" fontId="31" fillId="9" borderId="0" xfId="1" applyNumberFormat="1" applyFont="1" applyFill="1" applyAlignment="1">
      <alignment horizontal="center"/>
    </xf>
    <xf numFmtId="0" fontId="3" fillId="3" borderId="5" xfId="0" applyFont="1" applyFill="1" applyBorder="1" applyAlignment="1">
      <alignment horizontal="left" vertical="center" wrapText="1"/>
    </xf>
    <xf numFmtId="1" fontId="4" fillId="5" borderId="6" xfId="0" applyNumberFormat="1" applyFont="1" applyFill="1" applyBorder="1" applyAlignment="1">
      <alignment horizontal="center" vertical="center"/>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0" fillId="9" borderId="0" xfId="0" applyFill="1"/>
    <xf numFmtId="0" fontId="0" fillId="0" borderId="0" xfId="0"/>
    <xf numFmtId="0" fontId="4" fillId="7" borderId="17" xfId="0" applyNumberFormat="1" applyFont="1" applyFill="1" applyBorder="1" applyAlignment="1">
      <alignment horizontal="center" vertical="center"/>
    </xf>
    <xf numFmtId="0" fontId="4" fillId="8" borderId="17" xfId="0" applyNumberFormat="1" applyFont="1" applyFill="1" applyBorder="1" applyAlignment="1">
      <alignment horizontal="center" vertical="center"/>
    </xf>
    <xf numFmtId="0" fontId="3" fillId="6" borderId="8" xfId="0" applyNumberFormat="1" applyFont="1" applyFill="1" applyBorder="1" applyAlignment="1">
      <alignment vertical="center" wrapText="1"/>
    </xf>
    <xf numFmtId="0" fontId="4" fillId="7" borderId="8" xfId="0" applyNumberFormat="1" applyFont="1" applyFill="1" applyBorder="1" applyAlignment="1">
      <alignment vertical="center" wrapText="1"/>
    </xf>
    <xf numFmtId="1" fontId="4" fillId="8" borderId="8" xfId="0" applyNumberFormat="1" applyFont="1" applyFill="1" applyBorder="1" applyAlignment="1">
      <alignment vertical="center"/>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1" fontId="4" fillId="8" borderId="1" xfId="0" applyNumberFormat="1" applyFont="1" applyFill="1" applyBorder="1" applyAlignment="1">
      <alignment vertical="center"/>
    </xf>
    <xf numFmtId="0" fontId="3" fillId="6" borderId="7" xfId="0" applyNumberFormat="1" applyFont="1" applyFill="1" applyBorder="1" applyAlignment="1">
      <alignment vertical="center"/>
    </xf>
    <xf numFmtId="0" fontId="4" fillId="8" borderId="8" xfId="0" quotePrefix="1" applyNumberFormat="1" applyFont="1" applyFill="1" applyBorder="1" applyAlignment="1">
      <alignment vertical="center"/>
    </xf>
    <xf numFmtId="0" fontId="4" fillId="7" borderId="8" xfId="0" applyNumberFormat="1" applyFont="1" applyFill="1" applyBorder="1" applyAlignment="1">
      <alignment vertical="center"/>
    </xf>
    <xf numFmtId="0" fontId="3" fillId="6" borderId="5" xfId="0" applyNumberFormat="1" applyFont="1" applyFill="1" applyBorder="1" applyAlignment="1">
      <alignment vertical="center"/>
    </xf>
    <xf numFmtId="0" fontId="4" fillId="8" borderId="1" xfId="0" quotePrefix="1" applyNumberFormat="1" applyFont="1" applyFill="1" applyBorder="1" applyAlignment="1">
      <alignment vertical="center"/>
    </xf>
    <xf numFmtId="0" fontId="4" fillId="7" borderId="1" xfId="0" applyNumberFormat="1" applyFont="1" applyFill="1" applyBorder="1" applyAlignment="1">
      <alignment vertical="center"/>
    </xf>
    <xf numFmtId="0" fontId="4" fillId="8" borderId="1" xfId="0" applyNumberFormat="1" applyFont="1" applyFill="1" applyBorder="1" applyAlignment="1">
      <alignment vertical="center"/>
    </xf>
    <xf numFmtId="0" fontId="0" fillId="9" borderId="0" xfId="0" applyFill="1"/>
    <xf numFmtId="0" fontId="25" fillId="2" borderId="1" xfId="0" applyFont="1" applyFill="1" applyBorder="1" applyAlignment="1">
      <alignment horizontal="center" vertical="center" wrapText="1"/>
    </xf>
    <xf numFmtId="0" fontId="30" fillId="9" borderId="0" xfId="0" applyFont="1" applyFill="1" applyAlignment="1">
      <alignment horizontal="left" vertical="top"/>
    </xf>
    <xf numFmtId="0" fontId="0" fillId="9" borderId="0" xfId="0" applyFill="1" applyAlignment="1">
      <alignment horizontal="left" vertical="top"/>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0" fillId="9" borderId="0" xfId="1" applyNumberFormat="1" applyFont="1" applyFill="1"/>
    <xf numFmtId="165" fontId="2" fillId="4" borderId="1" xfId="1"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8" fillId="9" borderId="0" xfId="4" applyFont="1" applyFill="1" applyAlignment="1">
      <alignment vertical="top" wrapText="1"/>
    </xf>
    <xf numFmtId="0" fontId="14" fillId="9" borderId="0" xfId="4" applyFont="1" applyFill="1" applyAlignment="1">
      <alignment vertical="center"/>
    </xf>
    <xf numFmtId="0" fontId="13" fillId="9" borderId="0" xfId="4" applyFont="1" applyFill="1" applyAlignment="1">
      <alignment vertical="center"/>
    </xf>
    <xf numFmtId="0" fontId="20" fillId="9" borderId="0" xfId="4" applyFont="1" applyFill="1" applyAlignment="1">
      <alignment horizontal="left" vertical="center" indent="2"/>
    </xf>
    <xf numFmtId="0" fontId="24" fillId="9" borderId="0" xfId="4" applyFont="1" applyFill="1" applyAlignment="1">
      <alignment vertical="center"/>
    </xf>
    <xf numFmtId="0" fontId="25" fillId="10" borderId="16" xfId="4" applyFont="1" applyFill="1" applyBorder="1" applyAlignment="1">
      <alignment horizontal="left" vertical="center"/>
    </xf>
    <xf numFmtId="0" fontId="26" fillId="6" borderId="7" xfId="4" applyFont="1" applyFill="1" applyBorder="1" applyAlignment="1">
      <alignment vertical="center" wrapText="1"/>
    </xf>
    <xf numFmtId="0" fontId="27" fillId="9" borderId="15"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5" xfId="4" applyFont="1" applyFill="1" applyBorder="1" applyAlignment="1">
      <alignment horizontal="left" vertical="center"/>
    </xf>
    <xf numFmtId="0" fontId="9" fillId="9" borderId="7" xfId="4" applyFont="1" applyFill="1" applyBorder="1" applyAlignment="1">
      <alignment vertical="center"/>
    </xf>
    <xf numFmtId="0" fontId="30" fillId="9" borderId="0" xfId="0" applyFont="1" applyFill="1" applyAlignment="1">
      <alignment horizontal="left" wrapText="1"/>
    </xf>
    <xf numFmtId="0" fontId="30" fillId="9" borderId="0" xfId="0" applyFont="1" applyFill="1" applyAlignment="1">
      <alignment horizontal="left" vertical="top" wrapText="1"/>
    </xf>
    <xf numFmtId="0" fontId="4" fillId="8" borderId="17" xfId="0" quotePrefix="1" applyNumberFormat="1" applyFont="1" applyFill="1" applyBorder="1" applyAlignment="1">
      <alignment horizontal="center" vertical="center"/>
    </xf>
    <xf numFmtId="0" fontId="25" fillId="2" borderId="1" xfId="0" applyFont="1" applyFill="1" applyBorder="1" applyAlignment="1">
      <alignment horizontal="center" vertical="center"/>
    </xf>
    <xf numFmtId="0" fontId="0" fillId="0" borderId="0" xfId="0"/>
    <xf numFmtId="0" fontId="18" fillId="9" borderId="0" xfId="3" applyFont="1" applyFill="1" applyAlignment="1">
      <alignment horizontal="left" vertical="center" wrapText="1"/>
    </xf>
    <xf numFmtId="0" fontId="14" fillId="9" borderId="0" xfId="0" applyFont="1" applyFill="1" applyAlignment="1">
      <alignment horizontal="left" wrapText="1"/>
    </xf>
    <xf numFmtId="0" fontId="0" fillId="0" borderId="0" xfId="0" applyAlignment="1">
      <alignment vertical="center"/>
    </xf>
    <xf numFmtId="0" fontId="0" fillId="0" borderId="0" xfId="0"/>
    <xf numFmtId="0" fontId="19" fillId="9" borderId="0" xfId="3" applyFont="1" applyFill="1" applyAlignment="1">
      <alignment horizontal="left" vertical="center" wrapText="1"/>
    </xf>
    <xf numFmtId="0" fontId="18" fillId="9" borderId="0" xfId="3" applyFont="1" applyFill="1" applyAlignment="1">
      <alignment horizontal="left" vertical="center" wrapText="1"/>
    </xf>
    <xf numFmtId="0" fontId="14" fillId="9" borderId="0" xfId="0" applyFont="1" applyFill="1" applyAlignment="1">
      <alignment horizontal="left" wrapText="1"/>
    </xf>
    <xf numFmtId="0" fontId="3" fillId="6" borderId="10" xfId="0" applyNumberFormat="1" applyFont="1" applyFill="1" applyBorder="1" applyAlignment="1">
      <alignment vertical="center" wrapText="1"/>
    </xf>
    <xf numFmtId="0" fontId="4" fillId="7" borderId="10" xfId="0" applyNumberFormat="1" applyFont="1" applyFill="1" applyBorder="1" applyAlignment="1">
      <alignment vertical="center" wrapText="1"/>
    </xf>
    <xf numFmtId="1" fontId="4" fillId="8" borderId="10" xfId="0" applyNumberFormat="1" applyFont="1" applyFill="1" applyBorder="1" applyAlignment="1">
      <alignment vertical="center"/>
    </xf>
    <xf numFmtId="0" fontId="4" fillId="7" borderId="17" xfId="0" applyNumberFormat="1" applyFont="1" applyFill="1" applyBorder="1" applyAlignment="1">
      <alignment vertical="center" wrapText="1"/>
    </xf>
    <xf numFmtId="1" fontId="4" fillId="8" borderId="10" xfId="0" applyNumberFormat="1" applyFont="1" applyFill="1" applyBorder="1" applyAlignment="1">
      <alignment horizontal="center" vertical="center"/>
    </xf>
    <xf numFmtId="0" fontId="4" fillId="7" borderId="10" xfId="0" applyNumberFormat="1" applyFont="1" applyFill="1" applyBorder="1" applyAlignment="1">
      <alignment horizontal="center" vertical="center" wrapText="1"/>
    </xf>
    <xf numFmtId="0" fontId="18" fillId="9" borderId="0" xfId="3" applyFont="1" applyFill="1" applyAlignment="1">
      <alignment vertical="center"/>
    </xf>
    <xf numFmtId="0" fontId="3" fillId="6" borderId="10" xfId="0" applyNumberFormat="1" applyFont="1" applyFill="1" applyBorder="1" applyAlignment="1">
      <alignment horizontal="left" vertical="center" wrapText="1"/>
    </xf>
    <xf numFmtId="165" fontId="4" fillId="7" borderId="1" xfId="1" applyNumberFormat="1" applyFont="1" applyFill="1" applyBorder="1" applyAlignment="1">
      <alignment horizontal="center" vertical="center"/>
    </xf>
    <xf numFmtId="165" fontId="4" fillId="7" borderId="8" xfId="1" applyNumberFormat="1" applyFont="1" applyFill="1" applyBorder="1" applyAlignment="1">
      <alignment horizontal="center" vertical="center"/>
    </xf>
    <xf numFmtId="165" fontId="4" fillId="7" borderId="10" xfId="1" applyNumberFormat="1" applyFont="1" applyFill="1" applyBorder="1" applyAlignment="1">
      <alignment horizontal="center" vertical="center"/>
    </xf>
    <xf numFmtId="165" fontId="4" fillId="8" borderId="1" xfId="1" applyNumberFormat="1" applyFont="1" applyFill="1" applyBorder="1" applyAlignment="1">
      <alignment horizontal="center" vertical="center"/>
    </xf>
    <xf numFmtId="165" fontId="4" fillId="8" borderId="8" xfId="1" applyNumberFormat="1" applyFont="1" applyFill="1" applyBorder="1" applyAlignment="1">
      <alignment horizontal="center" vertical="center"/>
    </xf>
    <xf numFmtId="165" fontId="4" fillId="8" borderId="10" xfId="1" applyNumberFormat="1" applyFont="1" applyFill="1" applyBorder="1" applyAlignment="1">
      <alignment horizontal="center" vertical="center"/>
    </xf>
    <xf numFmtId="1" fontId="4" fillId="7" borderId="1" xfId="0" applyNumberFormat="1" applyFont="1" applyFill="1" applyBorder="1" applyAlignment="1">
      <alignment horizontal="center" vertical="center"/>
    </xf>
    <xf numFmtId="1" fontId="4" fillId="7" borderId="8" xfId="0" applyNumberFormat="1" applyFont="1" applyFill="1" applyBorder="1" applyAlignment="1">
      <alignment horizontal="center" vertical="center"/>
    </xf>
    <xf numFmtId="1" fontId="4" fillId="7" borderId="10" xfId="0" applyNumberFormat="1" applyFont="1" applyFill="1" applyBorder="1" applyAlignment="1">
      <alignment horizontal="center" vertical="center"/>
    </xf>
    <xf numFmtId="0" fontId="33" fillId="0" borderId="0" xfId="0" applyFont="1"/>
    <xf numFmtId="0" fontId="0" fillId="0" borderId="0" xfId="0"/>
    <xf numFmtId="0" fontId="33" fillId="9" borderId="0" xfId="3" applyFont="1" applyFill="1" applyAlignment="1">
      <alignment vertical="center"/>
    </xf>
    <xf numFmtId="0" fontId="35" fillId="0" borderId="0" xfId="0" applyFont="1"/>
    <xf numFmtId="0" fontId="34" fillId="0" borderId="0" xfId="0" applyFont="1"/>
    <xf numFmtId="0" fontId="2" fillId="4" borderId="0"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19" fillId="9" borderId="0" xfId="0" applyFont="1" applyFill="1" applyAlignment="1">
      <alignment horizontal="left" vertical="center"/>
    </xf>
    <xf numFmtId="0" fontId="1" fillId="0" borderId="0" xfId="0" applyFont="1" applyBorder="1" applyAlignment="1">
      <alignment horizontal="left"/>
    </xf>
    <xf numFmtId="0" fontId="4" fillId="0" borderId="0" xfId="0" applyFont="1" applyAlignment="1">
      <alignment wrapText="1"/>
    </xf>
    <xf numFmtId="0" fontId="0" fillId="0" borderId="0" xfId="0"/>
    <xf numFmtId="0" fontId="11" fillId="0" borderId="12" xfId="2" applyFont="1" applyBorder="1" applyAlignment="1">
      <alignment horizontal="left" wrapText="1"/>
    </xf>
    <xf numFmtId="0" fontId="11" fillId="0" borderId="13" xfId="2" applyFont="1" applyBorder="1" applyAlignment="1">
      <alignment horizontal="left" wrapText="1"/>
    </xf>
    <xf numFmtId="0" fontId="11" fillId="0" borderId="14" xfId="2" applyFont="1" applyBorder="1" applyAlignment="1">
      <alignment horizontal="left" wrapText="1"/>
    </xf>
    <xf numFmtId="0" fontId="13" fillId="0" borderId="0" xfId="0" applyFont="1" applyFill="1" applyAlignment="1">
      <alignment horizontal="left" vertical="center"/>
    </xf>
    <xf numFmtId="0" fontId="14" fillId="9" borderId="0" xfId="0" applyFont="1" applyFill="1" applyAlignment="1">
      <alignment horizontal="left"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5" fillId="0" borderId="0" xfId="0" applyFont="1" applyFill="1" applyAlignment="1">
      <alignment horizontal="left" vertical="center" wrapText="1"/>
    </xf>
    <xf numFmtId="0" fontId="18" fillId="9" borderId="0" xfId="3" applyFont="1" applyFill="1" applyAlignment="1">
      <alignment horizontal="left" vertical="center" wrapText="1"/>
    </xf>
    <xf numFmtId="0" fontId="14" fillId="0" borderId="0" xfId="0" applyFont="1" applyFill="1" applyAlignment="1">
      <alignment horizontal="left" vertical="center" wrapText="1"/>
    </xf>
    <xf numFmtId="0" fontId="14" fillId="9" borderId="0" xfId="0" applyFont="1" applyFill="1" applyAlignment="1">
      <alignment horizontal="left" wrapText="1"/>
    </xf>
    <xf numFmtId="0" fontId="15" fillId="9" borderId="0" xfId="0" applyFont="1" applyFill="1" applyAlignment="1">
      <alignment horizontal="left" vertical="center" wrapText="1"/>
    </xf>
    <xf numFmtId="0" fontId="18" fillId="9" borderId="0" xfId="0" applyFont="1" applyFill="1" applyAlignment="1">
      <alignment horizontal="left" vertical="center" wrapText="1"/>
    </xf>
    <xf numFmtId="0" fontId="19" fillId="9" borderId="0" xfId="0" applyFont="1" applyFill="1" applyAlignment="1">
      <alignment horizontal="left" vertical="center" wrapText="1"/>
    </xf>
    <xf numFmtId="0" fontId="14" fillId="9" borderId="0" xfId="0" applyFont="1" applyFill="1" applyAlignment="1">
      <alignment horizontal="left"/>
    </xf>
    <xf numFmtId="0" fontId="19" fillId="9" borderId="0" xfId="3" applyFont="1" applyFill="1" applyAlignment="1">
      <alignment horizontal="left" vertical="center" wrapText="1"/>
    </xf>
    <xf numFmtId="0" fontId="27" fillId="0" borderId="0" xfId="0" applyFont="1" applyAlignment="1">
      <alignment horizontal="left" vertical="top" wrapText="1"/>
    </xf>
    <xf numFmtId="0" fontId="5" fillId="9" borderId="0" xfId="0" applyFont="1" applyFill="1" applyAlignment="1">
      <alignment horizontal="left" vertical="top" wrapText="1"/>
    </xf>
    <xf numFmtId="0" fontId="27" fillId="0" borderId="0" xfId="0" applyFont="1" applyAlignment="1">
      <alignment wrapText="1"/>
    </xf>
    <xf numFmtId="0" fontId="30" fillId="0" borderId="0" xfId="0" applyFont="1"/>
    <xf numFmtId="0" fontId="14" fillId="9" borderId="0" xfId="4" applyFont="1" applyFill="1" applyAlignment="1">
      <alignment horizontal="left" vertical="center" wrapText="1"/>
    </xf>
    <xf numFmtId="0" fontId="18" fillId="9" borderId="0" xfId="4" applyFont="1" applyFill="1" applyAlignment="1">
      <alignment horizontal="left" vertical="center" wrapText="1"/>
    </xf>
    <xf numFmtId="0" fontId="18" fillId="9" borderId="0" xfId="4" applyFont="1" applyFill="1" applyAlignment="1">
      <alignment vertical="top" wrapText="1"/>
    </xf>
    <xf numFmtId="0" fontId="25" fillId="10" borderId="15" xfId="4" applyFont="1" applyFill="1" applyBorder="1" applyAlignment="1">
      <alignment horizontal="left" vertical="center"/>
    </xf>
    <xf numFmtId="0" fontId="25" fillId="10" borderId="0" xfId="4" applyFont="1" applyFill="1" applyBorder="1" applyAlignment="1">
      <alignment horizontal="left" vertical="center"/>
    </xf>
    <xf numFmtId="0" fontId="23"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0" fillId="9" borderId="0" xfId="4" applyFont="1" applyFill="1" applyAlignment="1">
      <alignment horizontal="left" vertical="center" wrapText="1"/>
    </xf>
    <xf numFmtId="0" fontId="27" fillId="9" borderId="15"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cellXfs>
  <cellStyles count="5">
    <cellStyle name="Comma" xfId="1" builtinId="3"/>
    <cellStyle name="Hyperlink" xfId="2" builtinId="8"/>
    <cellStyle name="Normal" xfId="0" builtinId="0"/>
    <cellStyle name="Normal 2" xfId="3" xr:uid="{00000000-0005-0000-0000-000003000000}"/>
    <cellStyle name="Normal 2 2" xfId="4" xr:uid="{65D49600-5838-4E23-A571-9969D3F9FD75}"/>
  </cellStyles>
  <dxfs count="148">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'South Australia Summary'!$B$69</c:f>
              <c:strCache>
                <c:ptCount val="1"/>
                <c:pt idx="0">
                  <c:v>Existing less Announced Withdrawal</c:v>
                </c:pt>
              </c:strCache>
            </c:strRef>
          </c:tx>
          <c:spPr>
            <a:solidFill>
              <a:schemeClr val="accent6">
                <a:lumMod val="75000"/>
              </a:schemeClr>
            </a:solidFill>
            <a:ln>
              <a:noFill/>
            </a:ln>
            <a:effectLst/>
          </c:spPr>
          <c:invertIfNegative val="0"/>
          <c:cat>
            <c:strRef>
              <c:f>'South Australia Summary'!$C$66:$L$66</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Summary'!$C$69:$L$69</c:f>
              <c:numCache>
                <c:formatCode>_-* #,##0_-;\-* #,##0_-;_-* "-"??_-;_-@_-</c:formatCode>
                <c:ptCount val="10"/>
                <c:pt idx="0">
                  <c:v>0</c:v>
                </c:pt>
                <c:pt idx="1">
                  <c:v>713.5</c:v>
                </c:pt>
                <c:pt idx="2">
                  <c:v>1198.04</c:v>
                </c:pt>
                <c:pt idx="3">
                  <c:v>800</c:v>
                </c:pt>
                <c:pt idx="4">
                  <c:v>229.61779999999999</c:v>
                </c:pt>
                <c:pt idx="5">
                  <c:v>1809.4499999999998</c:v>
                </c:pt>
                <c:pt idx="6">
                  <c:v>3.85</c:v>
                </c:pt>
                <c:pt idx="7">
                  <c:v>20.472999999999999</c:v>
                </c:pt>
                <c:pt idx="8">
                  <c:v>130</c:v>
                </c:pt>
                <c:pt idx="9">
                  <c:v>174.69800000000001</c:v>
                </c:pt>
              </c:numCache>
            </c:numRef>
          </c:val>
          <c:extLst>
            <c:ext xmlns:c16="http://schemas.microsoft.com/office/drawing/2014/chart" uri="{C3380CC4-5D6E-409C-BE32-E72D297353CC}">
              <c16:uniqueId val="{00000001-A3D1-482D-B116-277E85E54BB3}"/>
            </c:ext>
          </c:extLst>
        </c:ser>
        <c:ser>
          <c:idx val="0"/>
          <c:order val="1"/>
          <c:tx>
            <c:strRef>
              <c:f>'South Australia Summary'!$B$68</c:f>
              <c:strCache>
                <c:ptCount val="1"/>
                <c:pt idx="0">
                  <c:v>Announced Withdrawal</c:v>
                </c:pt>
              </c:strCache>
            </c:strRef>
          </c:tx>
          <c:spPr>
            <a:solidFill>
              <a:srgbClr val="FFC000"/>
            </a:solidFill>
            <a:ln>
              <a:noFill/>
            </a:ln>
            <a:effectLst/>
          </c:spPr>
          <c:invertIfNegative val="0"/>
          <c:cat>
            <c:strRef>
              <c:f>'South Australia Summary'!$C$66:$L$66</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Summary'!$C$68:$L$68</c:f>
              <c:numCache>
                <c:formatCode>_-* #,##0_-;\-* #,##0_-;_-* "-"??_-;_-@_-</c:formatCode>
                <c:ptCount val="10"/>
                <c:pt idx="0">
                  <c:v>0</c:v>
                </c:pt>
                <c:pt idx="1">
                  <c:v>0</c:v>
                </c:pt>
                <c:pt idx="2">
                  <c:v>0</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'South Australia Summary'!$B$70</c:f>
              <c:strCache>
                <c:ptCount val="1"/>
                <c:pt idx="0">
                  <c:v>Committed</c:v>
                </c:pt>
              </c:strCache>
            </c:strRef>
          </c:tx>
          <c:spPr>
            <a:solidFill>
              <a:schemeClr val="tx2"/>
            </a:solidFill>
            <a:ln>
              <a:noFill/>
            </a:ln>
            <a:effectLst/>
          </c:spPr>
          <c:invertIfNegative val="0"/>
          <c:cat>
            <c:strRef>
              <c:f>'South Australia Summary'!$C$66:$L$66</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Summary'!$C$70:$L$70</c:f>
              <c:numCache>
                <c:formatCode>_-* #,##0_-;\-* #,##0_-;_-* "-"??_-;_-@_-</c:formatCode>
                <c:ptCount val="10"/>
                <c:pt idx="0">
                  <c:v>0</c:v>
                </c:pt>
                <c:pt idx="1">
                  <c:v>0</c:v>
                </c:pt>
                <c:pt idx="2">
                  <c:v>0</c:v>
                </c:pt>
                <c:pt idx="3">
                  <c:v>210</c:v>
                </c:pt>
                <c:pt idx="4">
                  <c:v>110</c:v>
                </c:pt>
                <c:pt idx="5">
                  <c:v>245.4</c:v>
                </c:pt>
                <c:pt idx="6">
                  <c:v>0</c:v>
                </c:pt>
                <c:pt idx="7">
                  <c:v>0</c:v>
                </c:pt>
                <c:pt idx="8">
                  <c:v>25</c:v>
                </c:pt>
                <c:pt idx="9">
                  <c:v>0</c:v>
                </c:pt>
              </c:numCache>
            </c:numRef>
          </c:val>
          <c:extLst>
            <c:ext xmlns:c16="http://schemas.microsoft.com/office/drawing/2014/chart" uri="{C3380CC4-5D6E-409C-BE32-E72D297353CC}">
              <c16:uniqueId val="{00000002-A3D1-482D-B116-277E85E54BB3}"/>
            </c:ext>
          </c:extLst>
        </c:ser>
        <c:ser>
          <c:idx val="3"/>
          <c:order val="3"/>
          <c:tx>
            <c:strRef>
              <c:f>'South Australia Summary'!$B$71</c:f>
              <c:strCache>
                <c:ptCount val="1"/>
                <c:pt idx="0">
                  <c:v>Proposed</c:v>
                </c:pt>
              </c:strCache>
            </c:strRef>
          </c:tx>
          <c:spPr>
            <a:solidFill>
              <a:schemeClr val="accent1">
                <a:lumMod val="40000"/>
                <a:lumOff val="60000"/>
              </a:schemeClr>
            </a:solidFill>
            <a:ln>
              <a:noFill/>
            </a:ln>
            <a:effectLst/>
          </c:spPr>
          <c:invertIfNegative val="0"/>
          <c:cat>
            <c:strRef>
              <c:f>'South Australia Summary'!$C$66:$L$66</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Summary'!$C$71:$L$71</c:f>
              <c:numCache>
                <c:formatCode>_-* #,##0_-;\-* #,##0_-;_-* "-"??_-;_-@_-</c:formatCode>
                <c:ptCount val="10"/>
                <c:pt idx="0">
                  <c:v>0</c:v>
                </c:pt>
                <c:pt idx="1">
                  <c:v>45</c:v>
                </c:pt>
                <c:pt idx="2">
                  <c:v>659</c:v>
                </c:pt>
                <c:pt idx="3">
                  <c:v>0</c:v>
                </c:pt>
                <c:pt idx="4">
                  <c:v>2619.5</c:v>
                </c:pt>
                <c:pt idx="5">
                  <c:v>2693.8</c:v>
                </c:pt>
                <c:pt idx="6">
                  <c:v>1025</c:v>
                </c:pt>
                <c:pt idx="7">
                  <c:v>15</c:v>
                </c:pt>
                <c:pt idx="8">
                  <c:v>488</c:v>
                </c:pt>
                <c:pt idx="9">
                  <c:v>0</c:v>
                </c:pt>
              </c:numCache>
            </c:numRef>
          </c:val>
          <c:extLst>
            <c:ext xmlns:c16="http://schemas.microsoft.com/office/drawing/2014/chart" uri="{C3380CC4-5D6E-409C-BE32-E72D297353CC}">
              <c16:uniqueId val="{00000003-A3D1-482D-B116-277E85E54BB3}"/>
            </c:ext>
          </c:extLst>
        </c:ser>
        <c:ser>
          <c:idx val="4"/>
          <c:order val="4"/>
          <c:tx>
            <c:strRef>
              <c:f>'South Australia Summary'!$B$72</c:f>
              <c:strCache>
                <c:ptCount val="1"/>
                <c:pt idx="0">
                  <c:v>Withdrawn</c:v>
                </c:pt>
              </c:strCache>
            </c:strRef>
          </c:tx>
          <c:spPr>
            <a:solidFill>
              <a:schemeClr val="accent2"/>
            </a:solidFill>
            <a:ln>
              <a:noFill/>
            </a:ln>
            <a:effectLst/>
          </c:spPr>
          <c:invertIfNegative val="0"/>
          <c:cat>
            <c:strRef>
              <c:f>'South Australia Summary'!$C$66:$L$66</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Summary'!$C$72:$L$72</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43</xdr:row>
      <xdr:rowOff>157161</xdr:rowOff>
    </xdr:from>
    <xdr:to>
      <xdr:col>12</xdr:col>
      <xdr:colOff>571499</xdr:colOff>
      <xdr:row>64</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SA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hanges"/>
      <sheetName val="South Austral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C3" t="str">
            <v>Legend</v>
          </cell>
        </row>
      </sheetData>
      <sheetData sheetId="1"/>
      <sheetData sheetId="2"/>
      <sheetData sheetId="3"/>
      <sheetData sheetId="4"/>
      <sheetData sheetId="5"/>
      <sheetData sheetId="6"/>
      <sheetData sheetId="7"/>
      <sheetData sheetId="8"/>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00000000-0016-0000-0200-000000000000}" autoFormatId="16" applyNumberFormats="0" applyBorderFormats="0" applyFontFormats="0" applyPatternFormats="0" applyAlignmentFormats="0" applyWidthHeightFormats="0">
  <queryTableRefresh nextId="17">
    <queryTableFields count="12">
      <queryTableField id="1" name="Power Station" tableColumnId="1"/>
      <queryTableField id="2" name="Owner" tableColumnId="2"/>
      <queryTableField id="14" name="Unit Number and Nameplate Capacity (MW)" tableColumnId="3"/>
      <queryTableField id="12" name="Nameplate Capacity (MW)" tableColumnId="4"/>
      <queryTableField id="5" name="Technology Type" tableColumnId="5"/>
      <queryTableField id="6" name="Fuel Type" tableColumnId="6"/>
      <queryTableField id="7" name="Dispatch Type" tableColumnId="7"/>
      <queryTableField id="8" name="Service Status" tableColumnId="8"/>
      <queryTableField id="16" dataBound="0" tableColumnId="12"/>
      <queryTableField id="9" name="Region" tableColumnId="9"/>
      <queryTableField id="10" name="summary_status" tableColumnId="10"/>
      <queryTableField id="11" name="summary_bucket" tableColumnId="1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5" xr16:uid="{00000000-0016-0000-0300-000001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7" xr16:uid="{00000000-0016-0000-0300-000002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3" connectionId="6" xr16:uid="{00000000-0016-0000-0300-000003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8" xr16:uid="{00000000-0016-0000-0400-000004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2" connectionId="10" xr16:uid="{00000000-0016-0000-0400-000005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3" connectionId="9" xr16:uid="{00000000-0016-0000-0400-000006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500-000007000000}" autoFormatId="16" applyNumberFormats="0" applyBorderFormats="0" applyFontFormats="0" applyPatternFormats="0" applyAlignmentFormats="0" applyWidthHeightFormats="0">
  <queryTableRefresh nextId="12">
    <queryTableFields count="9">
      <queryTableField id="1" name="Power Station" tableColumnId="1"/>
      <queryTableField id="2" name="Owner" tableColumnId="2"/>
      <queryTableField id="3" name="Nameplate Capacity (MW)" tableColumnId="3"/>
      <queryTableField id="4" name="Technology Type" tableColumnId="4"/>
      <queryTableField id="5" name="Fuel Type" tableColumnId="5"/>
      <queryTableField id="10" name="Service Status" tableColumnId="6"/>
      <queryTableField id="7" name="Region" tableColumnId="7"/>
      <queryTableField id="8" name="summary_bucket" tableColumnId="8"/>
      <queryTableField id="9" name="summary_status" tableColumnId="9"/>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600-000008000000}" autoFormatId="16" applyNumberFormats="0" applyBorderFormats="0" applyFontFormats="0" applyPatternFormats="0" applyAlignmentFormats="0" applyWidthHeightFormats="0">
  <queryTableRefresh nextId="17">
    <queryTableFields count="15">
      <queryTableField id="1" name="Project" tableColumnId="1"/>
      <queryTableField id="2" name="Owner" tableColumnId="2"/>
      <queryTableField id="3" name="Unit ID" tableColumnId="3"/>
      <queryTableField id="4" name="Technology Type" tableColumnId="4"/>
      <queryTableField id="5" name="Fuel Type" tableColumnId="5"/>
      <queryTableField id="6" name="Unit Status" tableColumnId="6"/>
      <queryTableField id="7" name="Nameplate Capacity (MW)" tableColumnId="7"/>
      <queryTableField id="8" name="Dispatch Type" tableColumnId="8"/>
      <queryTableField id="9" name="Full Commercial Use Date" tableColumnId="9"/>
      <queryTableField id="15" name="Source" tableColumnId="15"/>
      <queryTableField id="10" name="summary_status" tableColumnId="10"/>
      <queryTableField id="11" name="nameplatecapacity_mw_max" tableColumnId="11"/>
      <queryTableField id="12" name="capacity_empty" tableColumnId="12"/>
      <queryTableField id="13" name="region" tableColumnId="13"/>
      <queryTableField id="14" name="summary_bucket"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33" tableType="queryTable" totalsRowShown="0" headerRowDxfId="147" headerRowBorderDxfId="146">
  <tableColumns count="12">
    <tableColumn id="1" xr3:uid="{00000000-0010-0000-0000-000001000000}" uniqueName="1" name="Power Station" queryTableFieldId="1" dataDxfId="145"/>
    <tableColumn id="2" xr3:uid="{00000000-0010-0000-0000-000002000000}" uniqueName="2" name="Owner" queryTableFieldId="2" dataDxfId="144"/>
    <tableColumn id="3" xr3:uid="{F5C68F97-3989-414B-9AAF-40BEE646BBBF}" uniqueName="3" name="Unit Number and Nameplate Capacity (MW)" queryTableFieldId="14" dataDxfId="143"/>
    <tableColumn id="4" xr3:uid="{F0D82A26-F463-4396-BFA7-4E052571ADF0}" uniqueName="4" name="Nameplate Capacity (MW)" queryTableFieldId="12" dataDxfId="142"/>
    <tableColumn id="5" xr3:uid="{00000000-0010-0000-0000-000005000000}" uniqueName="5" name="Technology Type" queryTableFieldId="5" dataDxfId="141"/>
    <tableColumn id="6" xr3:uid="{00000000-0010-0000-0000-000006000000}" uniqueName="6" name="Fuel Type" queryTableFieldId="6" dataDxfId="140"/>
    <tableColumn id="7" xr3:uid="{00000000-0010-0000-0000-000007000000}" uniqueName="7" name="Dispatch Type" queryTableFieldId="7" dataDxfId="139"/>
    <tableColumn id="8" xr3:uid="{00000000-0010-0000-0000-000008000000}" uniqueName="8" name="Service Status" queryTableFieldId="8" dataDxfId="138"/>
    <tableColumn id="12" xr3:uid="{CB8FD91D-7648-4383-AB8C-3120DDD035D8}" uniqueName="12" name="Closure Date" queryTableFieldId="16" dataDxfId="137"/>
    <tableColumn id="9" xr3:uid="{00000000-0010-0000-0000-000009000000}" uniqueName="9" name="Region" queryTableFieldId="9" dataDxfId="136"/>
    <tableColumn id="10" xr3:uid="{00000000-0010-0000-0000-00000A000000}" uniqueName="10" name="summary_status" queryTableFieldId="10" dataDxfId="135"/>
    <tableColumn id="11" xr3:uid="{00000000-0010-0000-0000-00000B000000}" uniqueName="11" name="summary_bucket" queryTableFieldId="11"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39" tableType="queryTable" totalsRowShown="0" headerRowDxfId="133" headerRowBorderDxfId="132">
  <autoFilter ref="A2:O39" xr:uid="{DFE366FE-3A25-421C-A2B4-32B3907B07F2}"/>
  <tableColumns count="15">
    <tableColumn id="1" xr3:uid="{00000000-0010-0000-0100-000001000000}" uniqueName="1" name="PowerStation" queryTableFieldId="1" dataDxfId="131"/>
    <tableColumn id="2" xr3:uid="{00000000-0010-0000-0100-000002000000}" uniqueName="2" name="201819" queryTableFieldId="2" dataDxfId="130" dataCellStyle="Comma"/>
    <tableColumn id="3" xr3:uid="{00000000-0010-0000-0100-000003000000}" uniqueName="3" name="201920" queryTableFieldId="3" dataDxfId="129" dataCellStyle="Comma"/>
    <tableColumn id="4" xr3:uid="{00000000-0010-0000-0100-000004000000}" uniqueName="4" name="202021" queryTableFieldId="4" dataDxfId="128" dataCellStyle="Comma"/>
    <tableColumn id="5" xr3:uid="{00000000-0010-0000-0100-000005000000}" uniqueName="5" name="202122" queryTableFieldId="5" dataDxfId="127" dataCellStyle="Comma"/>
    <tableColumn id="6" xr3:uid="{00000000-0010-0000-0100-000006000000}" uniqueName="6" name="202223" queryTableFieldId="6" dataDxfId="126" dataCellStyle="Comma"/>
    <tableColumn id="7" xr3:uid="{00000000-0010-0000-0100-000007000000}" uniqueName="7" name="202324" queryTableFieldId="7" dataDxfId="125" dataCellStyle="Comma"/>
    <tableColumn id="8" xr3:uid="{00000000-0010-0000-0100-000008000000}" uniqueName="8" name="202425" queryTableFieldId="8" dataDxfId="124" dataCellStyle="Comma"/>
    <tableColumn id="9" xr3:uid="{00000000-0010-0000-0100-000009000000}" uniqueName="9" name="202526" queryTableFieldId="9" dataDxfId="123" dataCellStyle="Comma"/>
    <tableColumn id="10" xr3:uid="{00000000-0010-0000-0100-00000A000000}" uniqueName="10" name="202627" queryTableFieldId="10" dataDxfId="122" dataCellStyle="Comma"/>
    <tableColumn id="11" xr3:uid="{00000000-0010-0000-0100-00000B000000}" uniqueName="11" name="202728" queryTableFieldId="11" dataDxfId="121" dataCellStyle="Comma"/>
    <tableColumn id="12" xr3:uid="{00000000-0010-0000-0100-00000C000000}" uniqueName="12" name="DispatchType" queryTableFieldId="12" dataDxfId="120"/>
    <tableColumn id="13" xr3:uid="{00000000-0010-0000-0100-00000D000000}" uniqueName="13" name="FuelType" queryTableFieldId="13" dataDxfId="119"/>
    <tableColumn id="14" xr3:uid="{00000000-0010-0000-0100-00000E000000}" uniqueName="14" name="Region" queryTableFieldId="14" dataDxfId="118"/>
    <tableColumn id="15" xr3:uid="{00000000-0010-0000-0100-00000F000000}" uniqueName="15" name="Season" queryTableFieldId="15"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49:O68" tableType="queryTable" totalsRowShown="0" headerRowDxfId="116" headerRowBorderDxfId="115">
  <autoFilter ref="A49:O68" xr:uid="{8D42D863-A008-421C-9CA7-848B2A11E3E9}"/>
  <tableColumns count="15">
    <tableColumn id="1" xr3:uid="{00000000-0010-0000-0200-000001000000}" uniqueName="1" name="PowerStation" queryTableFieldId="1" dataDxfId="114"/>
    <tableColumn id="2" xr3:uid="{00000000-0010-0000-0200-000002000000}" uniqueName="2" name="201819" queryTableFieldId="2" dataDxfId="113" dataCellStyle="Comma"/>
    <tableColumn id="3" xr3:uid="{00000000-0010-0000-0200-000003000000}" uniqueName="3" name="201920" queryTableFieldId="3" dataDxfId="112" dataCellStyle="Comma"/>
    <tableColumn id="4" xr3:uid="{00000000-0010-0000-0200-000004000000}" uniqueName="4" name="202021" queryTableFieldId="4" dataDxfId="111" dataCellStyle="Comma"/>
    <tableColumn id="5" xr3:uid="{00000000-0010-0000-0200-000005000000}" uniqueName="5" name="202122" queryTableFieldId="5" dataDxfId="110" dataCellStyle="Comma"/>
    <tableColumn id="6" xr3:uid="{00000000-0010-0000-0200-000006000000}" uniqueName="6" name="202223" queryTableFieldId="6" dataDxfId="109" dataCellStyle="Comma"/>
    <tableColumn id="7" xr3:uid="{00000000-0010-0000-0200-000007000000}" uniqueName="7" name="202324" queryTableFieldId="7" dataDxfId="108" dataCellStyle="Comma"/>
    <tableColumn id="8" xr3:uid="{00000000-0010-0000-0200-000008000000}" uniqueName="8" name="202425" queryTableFieldId="8" dataDxfId="107" dataCellStyle="Comma"/>
    <tableColumn id="9" xr3:uid="{00000000-0010-0000-0200-000009000000}" uniqueName="9" name="202526" queryTableFieldId="9" dataDxfId="106" dataCellStyle="Comma"/>
    <tableColumn id="10" xr3:uid="{00000000-0010-0000-0200-00000A000000}" uniqueName="10" name="202627" queryTableFieldId="10" dataDxfId="105" dataCellStyle="Comma"/>
    <tableColumn id="11" xr3:uid="{00000000-0010-0000-0200-00000B000000}" uniqueName="11" name="202728" queryTableFieldId="11" dataDxfId="104" dataCellStyle="Comma"/>
    <tableColumn id="12" xr3:uid="{00000000-0010-0000-0200-00000C000000}" uniqueName="12" name="DispatchType" queryTableFieldId="12" dataDxfId="103"/>
    <tableColumn id="13" xr3:uid="{00000000-0010-0000-0200-00000D000000}" uniqueName="13" name="FuelType" queryTableFieldId="13" dataDxfId="102"/>
    <tableColumn id="14" xr3:uid="{00000000-0010-0000-0200-00000E000000}" uniqueName="14" name="Region" queryTableFieldId="14" dataDxfId="101"/>
    <tableColumn id="15" xr3:uid="{00000000-0010-0000-0200-00000F000000}" uniqueName="15" name="Season" queryTableFieldId="15"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75:O93" tableType="queryTable" totalsRowShown="0" headerRowDxfId="99" headerRowBorderDxfId="98">
  <autoFilter ref="A75:O93" xr:uid="{CF321472-ADD1-49B8-9EEC-764FFACE7FA3}"/>
  <tableColumns count="15">
    <tableColumn id="1" xr3:uid="{00000000-0010-0000-0300-000001000000}" uniqueName="1" name="PowerStation" queryTableFieldId="1" dataDxfId="97"/>
    <tableColumn id="2" xr3:uid="{00000000-0010-0000-0300-000002000000}" uniqueName="2" name="201819" queryTableFieldId="2" dataDxfId="96" dataCellStyle="Comma"/>
    <tableColumn id="3" xr3:uid="{00000000-0010-0000-0300-000003000000}" uniqueName="3" name="201920" queryTableFieldId="3" dataDxfId="95" dataCellStyle="Comma"/>
    <tableColumn id="4" xr3:uid="{00000000-0010-0000-0300-000004000000}" uniqueName="4" name="202021" queryTableFieldId="4" dataDxfId="94" dataCellStyle="Comma"/>
    <tableColumn id="5" xr3:uid="{00000000-0010-0000-0300-000005000000}" uniqueName="5" name="202122" queryTableFieldId="5" dataDxfId="93" dataCellStyle="Comma"/>
    <tableColumn id="6" xr3:uid="{00000000-0010-0000-0300-000006000000}" uniqueName="6" name="202223" queryTableFieldId="6" dataDxfId="92" dataCellStyle="Comma"/>
    <tableColumn id="7" xr3:uid="{00000000-0010-0000-0300-000007000000}" uniqueName="7" name="202324" queryTableFieldId="7" dataDxfId="91" dataCellStyle="Comma"/>
    <tableColumn id="8" xr3:uid="{00000000-0010-0000-0300-000008000000}" uniqueName="8" name="202425" queryTableFieldId="8" dataDxfId="90" dataCellStyle="Comma"/>
    <tableColumn id="9" xr3:uid="{00000000-0010-0000-0300-000009000000}" uniqueName="9" name="202526" queryTableFieldId="9" dataDxfId="89" dataCellStyle="Comma"/>
    <tableColumn id="10" xr3:uid="{00000000-0010-0000-0300-00000A000000}" uniqueName="10" name="202627" queryTableFieldId="10" dataDxfId="88" dataCellStyle="Comma"/>
    <tableColumn id="11" xr3:uid="{00000000-0010-0000-0300-00000B000000}" uniqueName="11" name="202728" queryTableFieldId="11" dataDxfId="87" dataCellStyle="Comma"/>
    <tableColumn id="12" xr3:uid="{00000000-0010-0000-0300-00000C000000}" uniqueName="12" name="DispatchType" queryTableFieldId="12" dataDxfId="86"/>
    <tableColumn id="13" xr3:uid="{00000000-0010-0000-0300-00000D000000}" uniqueName="13" name="FuelType" queryTableFieldId="13" dataDxfId="85"/>
    <tableColumn id="14" xr3:uid="{00000000-0010-0000-0300-00000E000000}" uniqueName="14" name="Region" queryTableFieldId="14" dataDxfId="84"/>
    <tableColumn id="15" xr3:uid="{00000000-0010-0000-0300-00000F000000}" uniqueName="15" name="Season" queryTableFieldId="15"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39" tableType="queryTable" totalsRowShown="0" headerRowDxfId="82" headerRowBorderDxfId="81" tableBorderDxfId="80">
  <autoFilter ref="A2:O39" xr:uid="{4E22FB36-88A5-4CFD-8BE2-CAD58E5699C5}"/>
  <tableColumns count="15">
    <tableColumn id="1" xr3:uid="{00000000-0010-0000-0400-000001000000}" uniqueName="1" name="PowerStation" queryTableFieldId="1" dataDxfId="79"/>
    <tableColumn id="2" xr3:uid="{00000000-0010-0000-0400-000002000000}" uniqueName="2" name="2019" queryTableFieldId="2" dataDxfId="78" dataCellStyle="Comma"/>
    <tableColumn id="3" xr3:uid="{00000000-0010-0000-0400-000003000000}" uniqueName="3" name="2020" queryTableFieldId="3" dataDxfId="77" dataCellStyle="Comma"/>
    <tableColumn id="4" xr3:uid="{00000000-0010-0000-0400-000004000000}" uniqueName="4" name="2021" queryTableFieldId="4" dataDxfId="76" dataCellStyle="Comma"/>
    <tableColumn id="5" xr3:uid="{00000000-0010-0000-0400-000005000000}" uniqueName="5" name="2022" queryTableFieldId="5" dataDxfId="75" dataCellStyle="Comma"/>
    <tableColumn id="6" xr3:uid="{00000000-0010-0000-0400-000006000000}" uniqueName="6" name="2023" queryTableFieldId="6" dataDxfId="74" dataCellStyle="Comma"/>
    <tableColumn id="7" xr3:uid="{00000000-0010-0000-0400-000007000000}" uniqueName="7" name="2024" queryTableFieldId="7" dataDxfId="73" dataCellStyle="Comma"/>
    <tableColumn id="8" xr3:uid="{00000000-0010-0000-0400-000008000000}" uniqueName="8" name="2025" queryTableFieldId="8" dataDxfId="72" dataCellStyle="Comma"/>
    <tableColumn id="9" xr3:uid="{00000000-0010-0000-0400-000009000000}" uniqueName="9" name="2026" queryTableFieldId="9" dataDxfId="71" dataCellStyle="Comma"/>
    <tableColumn id="10" xr3:uid="{00000000-0010-0000-0400-00000A000000}" uniqueName="10" name="2027" queryTableFieldId="10" dataDxfId="70" dataCellStyle="Comma"/>
    <tableColumn id="11" xr3:uid="{00000000-0010-0000-0400-00000B000000}" uniqueName="11" name="2028" queryTableFieldId="11" dataDxfId="69" dataCellStyle="Comma"/>
    <tableColumn id="12" xr3:uid="{00000000-0010-0000-0400-00000C000000}" uniqueName="12" name="DispatchType" queryTableFieldId="12" dataDxfId="68"/>
    <tableColumn id="13" xr3:uid="{00000000-0010-0000-0400-00000D000000}" uniqueName="13" name="FuelType" queryTableFieldId="13" dataDxfId="67"/>
    <tableColumn id="14" xr3:uid="{00000000-0010-0000-0400-00000E000000}" uniqueName="14" name="Region" queryTableFieldId="14" dataDxfId="66"/>
    <tableColumn id="15" xr3:uid="{00000000-0010-0000-0400-00000F000000}" uniqueName="15" name="Season" queryTableFieldId="15"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49:O68" tableType="queryTable" totalsRowShown="0" headerRowDxfId="64" headerRowBorderDxfId="63" tableBorderDxfId="62">
  <autoFilter ref="A49:O68" xr:uid="{B31CC318-71A8-49B8-91DB-1F1197944AE4}"/>
  <tableColumns count="15">
    <tableColumn id="1" xr3:uid="{00000000-0010-0000-0500-000001000000}" uniqueName="1" name="PowerStation" queryTableFieldId="1" dataDxfId="61"/>
    <tableColumn id="2" xr3:uid="{00000000-0010-0000-0500-000002000000}" uniqueName="2" name="2019" queryTableFieldId="2" dataDxfId="60" dataCellStyle="Comma"/>
    <tableColumn id="3" xr3:uid="{00000000-0010-0000-0500-000003000000}" uniqueName="3" name="2020" queryTableFieldId="3" dataDxfId="59" dataCellStyle="Comma"/>
    <tableColumn id="4" xr3:uid="{00000000-0010-0000-0500-000004000000}" uniqueName="4" name="2021" queryTableFieldId="4" dataDxfId="58" dataCellStyle="Comma"/>
    <tableColumn id="5" xr3:uid="{00000000-0010-0000-0500-000005000000}" uniqueName="5" name="2022" queryTableFieldId="5" dataDxfId="57" dataCellStyle="Comma"/>
    <tableColumn id="6" xr3:uid="{00000000-0010-0000-0500-000006000000}" uniqueName="6" name="2023" queryTableFieldId="6" dataDxfId="56" dataCellStyle="Comma"/>
    <tableColumn id="7" xr3:uid="{00000000-0010-0000-0500-000007000000}" uniqueName="7" name="2024" queryTableFieldId="7" dataDxfId="55" dataCellStyle="Comma"/>
    <tableColumn id="8" xr3:uid="{00000000-0010-0000-0500-000008000000}" uniqueName="8" name="2025" queryTableFieldId="8" dataDxfId="54" dataCellStyle="Comma"/>
    <tableColumn id="9" xr3:uid="{00000000-0010-0000-0500-000009000000}" uniqueName="9" name="2026" queryTableFieldId="9" dataDxfId="53" dataCellStyle="Comma"/>
    <tableColumn id="10" xr3:uid="{00000000-0010-0000-0500-00000A000000}" uniqueName="10" name="2027" queryTableFieldId="10" dataDxfId="52" dataCellStyle="Comma"/>
    <tableColumn id="11" xr3:uid="{00000000-0010-0000-0500-00000B000000}" uniqueName="11" name="2028" queryTableFieldId="11" dataDxfId="51" dataCellStyle="Comma"/>
    <tableColumn id="12" xr3:uid="{00000000-0010-0000-0500-00000C000000}" uniqueName="12" name="DispatchType" queryTableFieldId="12" dataDxfId="50"/>
    <tableColumn id="13" xr3:uid="{00000000-0010-0000-0500-00000D000000}" uniqueName="13" name="FuelType" queryTableFieldId="13" dataDxfId="49"/>
    <tableColumn id="14" xr3:uid="{00000000-0010-0000-0500-00000E000000}" uniqueName="14" name="Region" queryTableFieldId="14" dataDxfId="48"/>
    <tableColumn id="15" xr3:uid="{00000000-0010-0000-0500-00000F000000}" uniqueName="15" name="Season" queryTableFieldId="15"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75:O93" tableType="queryTable" totalsRowShown="0" headerRowDxfId="46" headerRowBorderDxfId="45" tableBorderDxfId="44">
  <autoFilter ref="A75:O93" xr:uid="{30A0478D-0719-424E-A59E-E162EF5AF88A}"/>
  <tableColumns count="15">
    <tableColumn id="1" xr3:uid="{00000000-0010-0000-0600-000001000000}" uniqueName="1" name="PowerStation" queryTableFieldId="1" dataDxfId="43"/>
    <tableColumn id="2" xr3:uid="{00000000-0010-0000-0600-000002000000}" uniqueName="2" name="2019" queryTableFieldId="2" dataDxfId="42" dataCellStyle="Comma"/>
    <tableColumn id="3" xr3:uid="{00000000-0010-0000-0600-000003000000}" uniqueName="3" name="2020" queryTableFieldId="3" dataDxfId="41" dataCellStyle="Comma"/>
    <tableColumn id="4" xr3:uid="{00000000-0010-0000-0600-000004000000}" uniqueName="4" name="2021" queryTableFieldId="4" dataDxfId="40" dataCellStyle="Comma"/>
    <tableColumn id="5" xr3:uid="{00000000-0010-0000-0600-000005000000}" uniqueName="5" name="2022" queryTableFieldId="5" dataDxfId="39" dataCellStyle="Comma"/>
    <tableColumn id="6" xr3:uid="{00000000-0010-0000-0600-000006000000}" uniqueName="6" name="2023" queryTableFieldId="6" dataDxfId="38" dataCellStyle="Comma"/>
    <tableColumn id="7" xr3:uid="{00000000-0010-0000-0600-000007000000}" uniqueName="7" name="2024" queryTableFieldId="7" dataDxfId="37" dataCellStyle="Comma"/>
    <tableColumn id="8" xr3:uid="{00000000-0010-0000-0600-000008000000}" uniqueName="8" name="2025" queryTableFieldId="8" dataDxfId="36" dataCellStyle="Comma"/>
    <tableColumn id="9" xr3:uid="{00000000-0010-0000-0600-000009000000}" uniqueName="9" name="2026" queryTableFieldId="9" dataDxfId="35" dataCellStyle="Comma"/>
    <tableColumn id="10" xr3:uid="{00000000-0010-0000-0600-00000A000000}" uniqueName="10" name="2027" queryTableFieldId="10" dataDxfId="34" dataCellStyle="Comma"/>
    <tableColumn id="11" xr3:uid="{00000000-0010-0000-0600-00000B000000}" uniqueName="11" name="2028" queryTableFieldId="11" dataDxfId="33" dataCellStyle="Comma"/>
    <tableColumn id="12" xr3:uid="{00000000-0010-0000-0600-00000C000000}" uniqueName="12" name="DispatchType" queryTableFieldId="12" dataDxfId="32"/>
    <tableColumn id="13" xr3:uid="{00000000-0010-0000-0600-00000D000000}" uniqueName="13" name="FuelType" queryTableFieldId="13" dataDxfId="31"/>
    <tableColumn id="14" xr3:uid="{00000000-0010-0000-0600-00000E000000}" uniqueName="14" name="Region" queryTableFieldId="14" dataDxfId="30"/>
    <tableColumn id="15" xr3:uid="{00000000-0010-0000-0600-00000F000000}" uniqueName="15" name="Season" queryTableFieldId="15"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41" tableType="queryTable" totalsRowShown="0" headerRowDxfId="28" headerRowBorderDxfId="27">
  <autoFilter ref="A2:I41" xr:uid="{68730B5A-9057-4114-B847-ECCC58304F0D}"/>
  <tableColumns count="9">
    <tableColumn id="1" xr3:uid="{00000000-0010-0000-0700-000001000000}" uniqueName="1" name="Power Station" queryTableFieldId="1" dataDxfId="26"/>
    <tableColumn id="2" xr3:uid="{00000000-0010-0000-0700-000002000000}" uniqueName="2" name="Owner" queryTableFieldId="2" dataDxfId="25"/>
    <tableColumn id="3" xr3:uid="{00000000-0010-0000-0700-000003000000}" uniqueName="3" name="Nameplate Capacity (MW)" queryTableFieldId="3" dataDxfId="24"/>
    <tableColumn id="4" xr3:uid="{00000000-0010-0000-0700-000004000000}" uniqueName="4" name="Technology Type" queryTableFieldId="4" dataDxfId="23"/>
    <tableColumn id="5" xr3:uid="{00000000-0010-0000-0700-000005000000}" uniqueName="5" name="Fuel Type" queryTableFieldId="5" dataDxfId="22"/>
    <tableColumn id="6" xr3:uid="{5DE5CD59-020D-4550-9980-632229269B36}" uniqueName="6" name="Service Status" queryTableFieldId="10" dataDxfId="21"/>
    <tableColumn id="7" xr3:uid="{00000000-0010-0000-0700-000007000000}" uniqueName="7" name="Region" queryTableFieldId="7" dataDxfId="20"/>
    <tableColumn id="8" xr3:uid="{00000000-0010-0000-0700-000008000000}" uniqueName="8" name="summary_bucket" queryTableFieldId="8" dataDxfId="19"/>
    <tableColumn id="9" xr3:uid="{00000000-0010-0000-0700-000009000000}" uniqueName="9" name="summary_status" queryTableFieldId="9"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59" tableType="queryTable" totalsRowShown="0" headerRowDxfId="17" headerRowBorderDxfId="16" tableBorderDxfId="15">
  <autoFilter ref="A2:O59" xr:uid="{FD91C1E1-9740-4654-859B-7A45F5FFCDEC}"/>
  <tableColumns count="15">
    <tableColumn id="1" xr3:uid="{00000000-0010-0000-0800-000001000000}" uniqueName="1" name="Project" queryTableFieldId="1" dataDxfId="14"/>
    <tableColumn id="2" xr3:uid="{00000000-0010-0000-0800-000002000000}" uniqueName="2" name="Owner" queryTableFieldId="2" dataDxfId="13"/>
    <tableColumn id="3" xr3:uid="{00000000-0010-0000-0800-000003000000}" uniqueName="3" name="Unit Id" queryTableFieldId="3" dataDxfId="12"/>
    <tableColumn id="4" xr3:uid="{00000000-0010-0000-0800-000004000000}" uniqueName="4" name="Technology Type" queryTableFieldId="4" dataDxfId="11"/>
    <tableColumn id="5" xr3:uid="{00000000-0010-0000-0800-000005000000}" uniqueName="5" name="Fuel Type" queryTableFieldId="5" dataDxfId="10"/>
    <tableColumn id="6" xr3:uid="{00000000-0010-0000-0800-000006000000}" uniqueName="6" name="Unit Status" queryTableFieldId="6" dataDxfId="9"/>
    <tableColumn id="7" xr3:uid="{00000000-0010-0000-0800-000007000000}" uniqueName="7" name="Nameplate Capacity (MW)" queryTableFieldId="7" dataDxfId="8"/>
    <tableColumn id="8" xr3:uid="{00000000-0010-0000-0800-000008000000}" uniqueName="8" name="Dispatch Type" queryTableFieldId="8" dataDxfId="7"/>
    <tableColumn id="9" xr3:uid="{00000000-0010-0000-0800-000009000000}" uniqueName="9" name="Full Commercial Use Date" queryTableFieldId="9" dataDxfId="6"/>
    <tableColumn id="15" xr3:uid="{00000000-0010-0000-0800-00000F000000}" uniqueName="15" name="Source" queryTableFieldId="15" dataDxfId="5"/>
    <tableColumn id="10" xr3:uid="{00000000-0010-0000-0800-00000A000000}" uniqueName="10" name="summary_status" queryTableFieldId="10" dataDxfId="4"/>
    <tableColumn id="11" xr3:uid="{00000000-0010-0000-0800-00000B000000}" uniqueName="11" name="nameplatecapacity_mw_max" queryTableFieldId="11" dataDxfId="3"/>
    <tableColumn id="12" xr3:uid="{00000000-0010-0000-0800-00000C000000}" uniqueName="12" name="capacity_empty" queryTableFieldId="12" dataDxfId="2"/>
    <tableColumn id="13" xr3:uid="{00000000-0010-0000-0800-00000D000000}" uniqueName="13" name="region" queryTableFieldId="13" dataDxfId="1"/>
    <tableColumn id="14" xr3:uid="{00000000-0010-0000-0800-00000E000000}" uniqueName="14" name="summary_bucket" queryTableFieldId="1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4"/>
  <sheetViews>
    <sheetView showGridLines="0" tabSelected="1" zoomScale="130" zoomScaleNormal="130" workbookViewId="0"/>
  </sheetViews>
  <sheetFormatPr defaultRowHeight="15"/>
  <cols>
    <col min="1" max="1" width="4.7109375" customWidth="1"/>
    <col min="2" max="2" width="40.7109375" customWidth="1"/>
    <col min="11" max="11" width="9.140625" style="7"/>
  </cols>
  <sheetData>
    <row r="1" spans="1:14" ht="15.75" thickBot="1">
      <c r="A1" s="20" t="s">
        <v>15</v>
      </c>
    </row>
    <row r="2" spans="1:14" ht="16.5" thickTop="1" thickBot="1">
      <c r="B2" s="5" t="s">
        <v>155</v>
      </c>
      <c r="C2" s="4"/>
      <c r="D2" s="4"/>
      <c r="E2" s="4"/>
      <c r="F2" s="4"/>
      <c r="G2" s="4"/>
      <c r="H2" s="4"/>
      <c r="I2" s="4"/>
      <c r="J2" s="6"/>
      <c r="K2" s="8"/>
    </row>
    <row r="3" spans="1:14">
      <c r="B3" s="6" t="s">
        <v>156</v>
      </c>
      <c r="J3" s="6"/>
      <c r="K3" s="8"/>
    </row>
    <row r="4" spans="1:14">
      <c r="B4" s="22" t="s">
        <v>284</v>
      </c>
      <c r="C4" s="23"/>
      <c r="D4" s="23"/>
      <c r="E4" s="23"/>
      <c r="F4" s="23"/>
      <c r="G4" s="23"/>
      <c r="H4" s="23"/>
      <c r="I4" s="24"/>
      <c r="J4" s="6"/>
      <c r="K4" s="11"/>
      <c r="L4" s="11"/>
      <c r="M4" s="11"/>
      <c r="N4" s="11"/>
    </row>
    <row r="5" spans="1:14" ht="15.75" thickBot="1">
      <c r="B5" s="158" t="s">
        <v>285</v>
      </c>
      <c r="C5" s="159"/>
      <c r="D5" s="159"/>
      <c r="E5" s="159"/>
      <c r="F5" s="159"/>
      <c r="G5" s="159"/>
      <c r="H5" s="159"/>
      <c r="I5" s="160"/>
      <c r="J5" s="6"/>
      <c r="K5" s="11"/>
      <c r="L5" s="11"/>
      <c r="M5" s="11"/>
      <c r="N5" s="11"/>
    </row>
    <row r="6" spans="1:14" ht="15.75" thickTop="1">
      <c r="B6" s="25"/>
      <c r="C6" s="25"/>
      <c r="D6" s="25"/>
      <c r="E6" s="25"/>
      <c r="F6" s="25"/>
      <c r="G6" s="25"/>
      <c r="H6" s="25"/>
      <c r="I6" s="25"/>
      <c r="J6" s="8"/>
      <c r="K6" s="11"/>
      <c r="L6" s="11"/>
      <c r="M6" s="11"/>
      <c r="N6" s="11"/>
    </row>
    <row r="7" spans="1:14">
      <c r="B7" s="26" t="s">
        <v>609</v>
      </c>
      <c r="C7" s="8"/>
      <c r="D7" s="8"/>
      <c r="E7" s="8"/>
      <c r="F7" s="8"/>
      <c r="G7" s="8"/>
      <c r="H7" s="8"/>
      <c r="I7" s="8"/>
      <c r="J7" s="11"/>
      <c r="K7" s="11"/>
      <c r="L7" s="11"/>
      <c r="M7" s="11"/>
      <c r="N7" s="11"/>
    </row>
    <row r="8" spans="1:14" s="11" customFormat="1" ht="15.75" thickBot="1">
      <c r="B8" s="8"/>
      <c r="C8" s="8"/>
      <c r="D8" s="8"/>
      <c r="E8" s="8"/>
      <c r="F8" s="8"/>
      <c r="G8" s="8"/>
      <c r="H8" s="8"/>
      <c r="I8" s="8"/>
    </row>
    <row r="9" spans="1:14" s="11" customFormat="1" ht="20.25" thickBot="1">
      <c r="B9" s="1" t="s">
        <v>286</v>
      </c>
    </row>
    <row r="10" spans="1:14" s="153" customFormat="1" ht="19.5">
      <c r="B10" s="155"/>
    </row>
    <row r="11" spans="1:14" s="153" customFormat="1">
      <c r="B11" s="154" t="s">
        <v>613</v>
      </c>
    </row>
    <row r="12" spans="1:14" s="11" customFormat="1">
      <c r="B12" s="154" t="s">
        <v>614</v>
      </c>
      <c r="C12" s="27"/>
      <c r="D12" s="27"/>
      <c r="E12" s="27"/>
      <c r="F12" s="27"/>
      <c r="G12" s="27"/>
      <c r="H12" s="27"/>
      <c r="I12" s="27"/>
      <c r="J12" s="27"/>
      <c r="K12" s="27"/>
      <c r="L12" s="27"/>
      <c r="M12" s="27"/>
      <c r="N12" s="27"/>
    </row>
    <row r="13" spans="1:14" s="153" customFormat="1">
      <c r="B13" s="154"/>
      <c r="C13" s="87"/>
      <c r="D13" s="87"/>
      <c r="E13" s="87"/>
      <c r="F13" s="87"/>
      <c r="G13" s="87"/>
      <c r="H13" s="87"/>
      <c r="I13" s="87"/>
      <c r="J13" s="87"/>
      <c r="K13" s="87"/>
      <c r="L13" s="87"/>
      <c r="M13" s="87"/>
      <c r="N13" s="87"/>
    </row>
    <row r="14" spans="1:14" s="11" customFormat="1">
      <c r="B14" s="28" t="s">
        <v>287</v>
      </c>
      <c r="C14" s="27"/>
      <c r="D14" s="27"/>
      <c r="E14" s="27"/>
      <c r="F14" s="27"/>
      <c r="G14" s="27"/>
      <c r="H14" s="27"/>
      <c r="I14" s="27"/>
      <c r="J14" s="27"/>
      <c r="K14" s="27"/>
      <c r="L14" s="27"/>
      <c r="M14" s="27"/>
      <c r="N14" s="27"/>
    </row>
    <row r="15" spans="1:14" s="21" customFormat="1" ht="17.25" customHeight="1">
      <c r="B15" s="133" t="s">
        <v>577</v>
      </c>
      <c r="C15" s="133"/>
      <c r="D15" s="133"/>
      <c r="E15" s="133"/>
      <c r="F15" s="133"/>
      <c r="G15" s="133"/>
      <c r="H15" s="133"/>
      <c r="I15" s="133"/>
      <c r="J15" s="133"/>
      <c r="K15" s="133"/>
      <c r="L15" s="29"/>
      <c r="M15" s="29"/>
      <c r="N15" s="30"/>
    </row>
    <row r="16" spans="1:14" s="11" customFormat="1">
      <c r="B16" s="146" t="s">
        <v>580</v>
      </c>
    </row>
    <row r="17" spans="2:14" s="145" customFormat="1">
      <c r="B17" s="133" t="s">
        <v>583</v>
      </c>
    </row>
    <row r="18" spans="2:14" s="123" customFormat="1">
      <c r="B18" s="133" t="s">
        <v>582</v>
      </c>
    </row>
    <row r="19" spans="2:14" s="145" customFormat="1">
      <c r="B19" s="148" t="s">
        <v>606</v>
      </c>
    </row>
    <row r="20" spans="2:14" s="150" customFormat="1">
      <c r="B20" s="148" t="s">
        <v>607</v>
      </c>
    </row>
    <row r="21" spans="2:14" s="151" customFormat="1">
      <c r="B21" s="148" t="s">
        <v>608</v>
      </c>
    </row>
    <row r="22" spans="2:14" s="152" customFormat="1">
      <c r="B22" s="148"/>
    </row>
    <row r="23" spans="2:14" s="11" customFormat="1">
      <c r="B23" s="161" t="s">
        <v>290</v>
      </c>
      <c r="C23" s="161"/>
      <c r="D23" s="161"/>
      <c r="E23" s="161"/>
      <c r="F23" s="161"/>
      <c r="G23" s="31"/>
      <c r="H23" s="31"/>
      <c r="I23" s="31"/>
      <c r="J23" s="31"/>
      <c r="K23" s="31"/>
      <c r="L23" s="31"/>
      <c r="M23" s="31"/>
      <c r="N23" s="31"/>
    </row>
    <row r="24" spans="2:14" s="11" customFormat="1">
      <c r="B24" s="32" t="s">
        <v>166</v>
      </c>
      <c r="C24" s="31"/>
      <c r="D24" s="31"/>
      <c r="E24" s="31"/>
      <c r="F24" s="31"/>
      <c r="G24" s="31"/>
      <c r="H24" s="31"/>
      <c r="I24" s="31"/>
      <c r="J24" s="31"/>
      <c r="K24" s="31"/>
      <c r="L24" s="31"/>
      <c r="M24" s="31"/>
      <c r="N24" s="31"/>
    </row>
    <row r="25" spans="2:14" s="11" customFormat="1">
      <c r="B25" s="33" t="s">
        <v>291</v>
      </c>
      <c r="C25" s="34"/>
      <c r="D25" s="34"/>
      <c r="E25" s="34"/>
      <c r="F25" s="35"/>
      <c r="G25" s="34"/>
      <c r="H25" s="34"/>
      <c r="I25" s="34"/>
      <c r="J25" s="34"/>
      <c r="K25" s="34"/>
      <c r="L25" s="34"/>
      <c r="M25" s="34"/>
      <c r="N25" s="34"/>
    </row>
    <row r="26" spans="2:14" s="11" customFormat="1">
      <c r="B26" s="36"/>
      <c r="C26" s="31"/>
      <c r="D26" s="31"/>
      <c r="E26" s="31"/>
      <c r="F26" s="31"/>
      <c r="G26" s="31"/>
      <c r="H26" s="31"/>
      <c r="I26" s="31"/>
      <c r="J26" s="31"/>
      <c r="K26" s="31"/>
      <c r="L26" s="31"/>
      <c r="M26" s="31"/>
      <c r="N26" s="31"/>
    </row>
    <row r="27" spans="2:14" s="11" customFormat="1">
      <c r="B27" s="32" t="s">
        <v>292</v>
      </c>
      <c r="C27" s="31"/>
      <c r="D27" s="31"/>
      <c r="E27" s="31"/>
      <c r="F27" s="31"/>
      <c r="G27" s="31"/>
      <c r="H27" s="31"/>
      <c r="I27" s="31"/>
      <c r="J27" s="31"/>
      <c r="K27" s="31"/>
      <c r="L27" s="31"/>
      <c r="M27" s="31"/>
      <c r="N27" s="31"/>
    </row>
    <row r="28" spans="2:14" s="11" customFormat="1" ht="24.75" customHeight="1">
      <c r="B28" s="162" t="s">
        <v>293</v>
      </c>
      <c r="C28" s="162"/>
      <c r="D28" s="162"/>
      <c r="E28" s="162"/>
      <c r="F28" s="162"/>
      <c r="G28" s="162"/>
      <c r="H28" s="162"/>
      <c r="I28" s="162"/>
      <c r="J28" s="162"/>
      <c r="K28" s="162"/>
      <c r="L28" s="162"/>
      <c r="M28" s="162"/>
      <c r="N28" s="162"/>
    </row>
    <row r="29" spans="2:14" s="11" customFormat="1">
      <c r="B29" s="36"/>
      <c r="C29" s="31"/>
      <c r="D29" s="31"/>
      <c r="E29" s="31"/>
      <c r="F29" s="31"/>
      <c r="G29" s="31"/>
      <c r="H29" s="31"/>
      <c r="I29" s="31"/>
      <c r="J29" s="31"/>
      <c r="K29" s="31"/>
      <c r="L29" s="31"/>
      <c r="M29" s="31"/>
      <c r="N29" s="31"/>
    </row>
    <row r="30" spans="2:14" s="11" customFormat="1">
      <c r="B30" s="36" t="s">
        <v>294</v>
      </c>
      <c r="C30" s="31"/>
      <c r="D30" s="31"/>
      <c r="E30" s="31"/>
      <c r="F30" s="31"/>
      <c r="G30" s="31"/>
      <c r="H30" s="31"/>
      <c r="I30" s="31"/>
      <c r="J30" s="31"/>
      <c r="K30" s="31"/>
      <c r="L30" s="31"/>
      <c r="M30" s="31"/>
      <c r="N30" s="31"/>
    </row>
    <row r="31" spans="2:14" s="11" customFormat="1">
      <c r="B31" s="163" t="s">
        <v>295</v>
      </c>
      <c r="C31" s="163"/>
      <c r="D31" s="163"/>
      <c r="E31" s="163"/>
      <c r="F31" s="163"/>
      <c r="G31" s="163"/>
      <c r="H31" s="163"/>
      <c r="I31" s="163"/>
      <c r="J31" s="163"/>
      <c r="K31" s="163"/>
      <c r="L31" s="163"/>
      <c r="M31" s="163"/>
      <c r="N31" s="163"/>
    </row>
    <row r="32" spans="2:14" s="11" customFormat="1">
      <c r="B32" s="37" t="s">
        <v>296</v>
      </c>
      <c r="C32" s="38"/>
      <c r="D32" s="38"/>
      <c r="E32" s="38"/>
      <c r="F32" s="38"/>
      <c r="G32" s="38"/>
      <c r="H32" s="38"/>
      <c r="I32" s="38"/>
      <c r="J32" s="38"/>
      <c r="K32" s="38"/>
      <c r="L32" s="38"/>
      <c r="M32" s="38"/>
      <c r="N32" s="38"/>
    </row>
    <row r="33" spans="2:14" s="11" customFormat="1">
      <c r="B33" s="164" t="s">
        <v>615</v>
      </c>
      <c r="C33" s="164"/>
      <c r="D33" s="164"/>
      <c r="E33" s="164"/>
      <c r="F33" s="164"/>
      <c r="G33" s="164"/>
      <c r="H33" s="164"/>
      <c r="I33" s="164"/>
      <c r="J33" s="164"/>
      <c r="K33" s="164"/>
      <c r="L33" s="164"/>
      <c r="M33" s="164"/>
      <c r="N33" s="164"/>
    </row>
    <row r="34" spans="2:14" s="11" customFormat="1">
      <c r="B34" s="164" t="s">
        <v>597</v>
      </c>
      <c r="C34" s="164"/>
      <c r="D34" s="164"/>
      <c r="E34" s="164"/>
      <c r="F34" s="164"/>
      <c r="G34" s="164"/>
      <c r="H34" s="164"/>
      <c r="I34" s="164"/>
      <c r="J34" s="164"/>
      <c r="K34" s="39"/>
      <c r="L34" s="39"/>
      <c r="M34" s="39"/>
      <c r="N34" s="39"/>
    </row>
    <row r="35" spans="2:14" s="11" customFormat="1">
      <c r="B35" s="164" t="s">
        <v>598</v>
      </c>
      <c r="C35" s="164"/>
      <c r="D35" s="164"/>
      <c r="E35" s="164"/>
      <c r="F35" s="164"/>
      <c r="G35" s="164"/>
      <c r="H35" s="164"/>
      <c r="I35" s="164"/>
      <c r="J35" s="164"/>
      <c r="K35" s="39"/>
      <c r="L35" s="39"/>
      <c r="M35" s="39"/>
      <c r="N35" s="39"/>
    </row>
    <row r="36" spans="2:14" s="11" customFormat="1">
      <c r="B36" s="38"/>
      <c r="C36" s="38"/>
      <c r="D36" s="38"/>
      <c r="E36" s="38"/>
      <c r="F36" s="38"/>
      <c r="G36" s="38"/>
      <c r="H36" s="38"/>
      <c r="I36" s="38"/>
      <c r="J36" s="38"/>
      <c r="K36" s="38"/>
      <c r="L36" s="38"/>
      <c r="M36" s="31"/>
      <c r="N36" s="31"/>
    </row>
    <row r="37" spans="2:14" s="11" customFormat="1">
      <c r="B37" s="36" t="s">
        <v>297</v>
      </c>
      <c r="C37" s="31"/>
      <c r="D37" s="31"/>
      <c r="E37" s="31"/>
      <c r="F37" s="31"/>
      <c r="G37" s="31"/>
      <c r="H37" s="31"/>
      <c r="I37" s="31"/>
      <c r="J37" s="31"/>
      <c r="K37" s="31"/>
      <c r="L37" s="31"/>
      <c r="M37" s="31"/>
      <c r="N37" s="31"/>
    </row>
    <row r="38" spans="2:14" s="11" customFormat="1">
      <c r="B38" s="40" t="s">
        <v>298</v>
      </c>
      <c r="C38" s="31"/>
      <c r="D38" s="31"/>
      <c r="E38" s="31"/>
      <c r="F38" s="31"/>
      <c r="G38" s="31"/>
      <c r="H38" s="31"/>
      <c r="I38" s="31"/>
      <c r="J38" s="31"/>
      <c r="K38" s="31"/>
      <c r="L38" s="31"/>
      <c r="M38" s="31"/>
      <c r="N38" s="31"/>
    </row>
    <row r="39" spans="2:14" s="11" customFormat="1">
      <c r="B39" s="36"/>
      <c r="C39" s="31"/>
      <c r="D39" s="31"/>
      <c r="E39" s="31"/>
      <c r="F39" s="31"/>
      <c r="G39" s="31"/>
      <c r="H39" s="31"/>
      <c r="I39" s="31"/>
      <c r="J39" s="31"/>
      <c r="K39" s="31"/>
      <c r="L39" s="31"/>
      <c r="M39" s="31"/>
      <c r="N39" s="31"/>
    </row>
    <row r="40" spans="2:14" s="11" customFormat="1">
      <c r="B40" s="41" t="s">
        <v>299</v>
      </c>
      <c r="C40" s="31"/>
      <c r="D40" s="31"/>
      <c r="E40" s="31"/>
      <c r="F40" s="31"/>
      <c r="G40" s="31"/>
      <c r="H40" s="31"/>
      <c r="I40" s="31"/>
      <c r="J40" s="31"/>
      <c r="K40" s="31"/>
      <c r="L40" s="31"/>
      <c r="M40" s="31"/>
      <c r="N40" s="31"/>
    </row>
    <row r="41" spans="2:14" s="11" customFormat="1">
      <c r="B41" s="42" t="s">
        <v>300</v>
      </c>
      <c r="C41" s="31"/>
      <c r="D41" s="31"/>
      <c r="E41" s="31"/>
      <c r="F41" s="31"/>
      <c r="G41" s="31"/>
      <c r="H41" s="31"/>
      <c r="I41" s="31"/>
      <c r="J41" s="31"/>
      <c r="K41" s="31"/>
      <c r="L41" s="31"/>
      <c r="M41" s="31"/>
      <c r="N41" s="31"/>
    </row>
    <row r="42" spans="2:14" s="11" customFormat="1">
      <c r="B42" s="165"/>
      <c r="C42" s="165"/>
      <c r="D42" s="165"/>
      <c r="E42" s="165"/>
      <c r="F42" s="165"/>
      <c r="G42" s="165"/>
      <c r="H42" s="165"/>
      <c r="I42" s="165"/>
      <c r="J42" s="165"/>
      <c r="K42" s="165"/>
      <c r="L42" s="165"/>
      <c r="M42" s="165"/>
      <c r="N42" s="165"/>
    </row>
    <row r="43" spans="2:14" s="11" customFormat="1">
      <c r="B43" s="41" t="s">
        <v>301</v>
      </c>
      <c r="C43" s="43"/>
      <c r="D43" s="43"/>
      <c r="E43" s="43"/>
      <c r="F43" s="43"/>
      <c r="G43" s="43"/>
      <c r="H43" s="43"/>
      <c r="I43" s="43"/>
      <c r="J43" s="43"/>
      <c r="K43" s="43"/>
      <c r="L43" s="43"/>
      <c r="M43" s="43"/>
      <c r="N43" s="31"/>
    </row>
    <row r="66" spans="2:13" ht="23.25" thickBot="1">
      <c r="B66" s="2" t="s">
        <v>157</v>
      </c>
      <c r="C66" s="2" t="s">
        <v>158</v>
      </c>
      <c r="D66" s="2" t="s">
        <v>32</v>
      </c>
      <c r="E66" s="2" t="s">
        <v>19</v>
      </c>
      <c r="F66" s="2" t="s">
        <v>159</v>
      </c>
      <c r="G66" s="2" t="s">
        <v>466</v>
      </c>
      <c r="H66" s="2" t="s">
        <v>17</v>
      </c>
      <c r="I66" s="2" t="s">
        <v>569</v>
      </c>
      <c r="J66" s="2" t="s">
        <v>160</v>
      </c>
      <c r="K66" s="2" t="s">
        <v>440</v>
      </c>
      <c r="L66" s="2" t="s">
        <v>161</v>
      </c>
      <c r="M66" s="2" t="s">
        <v>96</v>
      </c>
    </row>
    <row r="67" spans="2:13" ht="15.75" thickBot="1">
      <c r="B67" s="3" t="s">
        <v>162</v>
      </c>
      <c r="C67" s="44">
        <f>C68+C69</f>
        <v>0</v>
      </c>
      <c r="D67" s="45">
        <f t="shared" ref="D67:L67" si="0">D68+D69</f>
        <v>713.5</v>
      </c>
      <c r="E67" s="44">
        <f t="shared" si="0"/>
        <v>1198.04</v>
      </c>
      <c r="F67" s="45">
        <f t="shared" si="0"/>
        <v>1280</v>
      </c>
      <c r="G67" s="44">
        <f t="shared" si="0"/>
        <v>229.61779999999999</v>
      </c>
      <c r="H67" s="45">
        <f t="shared" si="0"/>
        <v>1809.4499999999998</v>
      </c>
      <c r="I67" s="44">
        <f t="shared" si="0"/>
        <v>3.85</v>
      </c>
      <c r="J67" s="45">
        <f t="shared" si="0"/>
        <v>20.472999999999999</v>
      </c>
      <c r="K67" s="44">
        <f t="shared" si="0"/>
        <v>130</v>
      </c>
      <c r="L67" s="45">
        <f t="shared" si="0"/>
        <v>174.69800000000001</v>
      </c>
      <c r="M67" s="44">
        <f t="shared" ref="M67:M72" si="1">SUM(C67:L67)</f>
        <v>5559.6288000000004</v>
      </c>
    </row>
    <row r="68" spans="2:13" ht="15.75" thickBot="1">
      <c r="B68" s="3" t="s">
        <v>69</v>
      </c>
      <c r="C68" s="44">
        <f>SUMIFS(existingstable[Nameplate Capacity (MW)],existingstable[summary_status],'South Australia Summary'!$B68,existingstable[summary_bucket],'South Australia Summary'!C$66) + SUMIFS(existingnstable[Nameplate Capacity (MW)],existingnstable[summary_status],'South Australia Summary'!$B68,existingnstable[summary_bucket],'South Australia Summary'!C$66)</f>
        <v>0</v>
      </c>
      <c r="D68" s="45">
        <f>SUMIFS(existingstable[Nameplate Capacity (MW)],existingstable[summary_status],'South Australia Summary'!$B68,existingstable[summary_bucket],'South Australia Summary'!D$66) + SUMIFS(existingnstable[Nameplate Capacity (MW)],existingnstable[summary_status],'South Australia Summary'!$B68,existingnstable[summary_bucket],'South Australia Summary'!D$66)</f>
        <v>0</v>
      </c>
      <c r="E68" s="44">
        <f>SUMIFS(existingstable[Nameplate Capacity (MW)],existingstable[summary_status],'South Australia Summary'!$B68,existingstable[summary_bucket],'South Australia Summary'!E$66) + SUMIFS(existingnstable[Nameplate Capacity (MW)],existingnstable[summary_status],'South Australia Summary'!$B68,existingnstable[summary_bucket],'South Australia Summary'!E$66)</f>
        <v>0</v>
      </c>
      <c r="F68" s="45">
        <f>SUMIFS(existingstable[Nameplate Capacity (MW)],existingstable[summary_status],'South Australia Summary'!$B68,existingstable[summary_bucket],'South Australia Summary'!F$66) + SUMIFS(existingnstable[Nameplate Capacity (MW)],existingnstable[summary_status],'South Australia Summary'!$B68,existingnstable[summary_bucket],'South Australia Summary'!F$66)</f>
        <v>480</v>
      </c>
      <c r="G68" s="44">
        <f>SUMIFS(existingstable[Nameplate Capacity (MW)],existingstable[summary_status],'South Australia Summary'!$B68,existingstable[summary_bucket],'South Australia Summary'!G$66) + SUMIFS(existingnstable[Nameplate Capacity (MW)],existingnstable[summary_status],'South Australia Summary'!$B68,existingnstable[summary_bucket],'South Australia Summary'!G$66)</f>
        <v>0</v>
      </c>
      <c r="H68" s="45">
        <f>SUMIFS(existingstable[Nameplate Capacity (MW)],existingstable[summary_status],'South Australia Summary'!$B68,existingstable[summary_bucket],'South Australia Summary'!H$66) + SUMIFS(existingnstable[Nameplate Capacity (MW)],existingnstable[summary_status],'South Australia Summary'!$B68,existingnstable[summary_bucket],'South Australia Summary'!H$66)</f>
        <v>0</v>
      </c>
      <c r="I68" s="44">
        <f>SUMIFS(existingstable[Nameplate Capacity (MW)],existingstable[summary_status],'South Australia Summary'!$B68,existingstable[summary_bucket],'South Australia Summary'!I$66) + SUMIFS(existingnstable[Nameplate Capacity (MW)],existingnstable[summary_status],'South Australia Summary'!$B68,existingnstable[summary_bucket],'South Australia Summary'!I$66)</f>
        <v>0</v>
      </c>
      <c r="J68" s="45">
        <f>SUMIFS(existingstable[Nameplate Capacity (MW)],existingstable[summary_status],'South Australia Summary'!$B68,existingstable[summary_bucket],'South Australia Summary'!J$66) + SUMIFS(existingnstable[Nameplate Capacity (MW)],existingnstable[summary_status],'South Australia Summary'!$B68,existingnstable[summary_bucket],'South Australia Summary'!J$66)</f>
        <v>0</v>
      </c>
      <c r="K68" s="44">
        <f>SUMIFS(existingstable[Nameplate Capacity (MW)],existingstable[summary_status],'South Australia Summary'!$B68,existingstable[summary_bucket],'South Australia Summary'!K$66) + SUMIFS(existingnstable[Nameplate Capacity (MW)],existingnstable[summary_status],'South Australia Summary'!$B68,existingnstable[summary_bucket],'South Australia Summary'!K$66)</f>
        <v>0</v>
      </c>
      <c r="L68" s="45">
        <f>SUMIFS(existingstable[Nameplate Capacity (MW)],existingstable[summary_status],'South Australia Summary'!$B68,existingstable[summary_bucket],'South Australia Summary'!L$66) + SUMIFS(existingnstable[Nameplate Capacity (MW)],existingnstable[summary_status],'South Australia Summary'!$B68,existingnstable[summary_bucket],'South Australia Summary'!L$66)</f>
        <v>0</v>
      </c>
      <c r="M68" s="44">
        <f t="shared" si="1"/>
        <v>480</v>
      </c>
    </row>
    <row r="69" spans="2:13" ht="15.75" thickBot="1">
      <c r="B69" s="3" t="s">
        <v>163</v>
      </c>
      <c r="C69" s="44">
        <f>SUMIFS(existingstable[Nameplate Capacity (MW)],existingstable[summary_status],'South Australia Summary'!$B69,existingstable[summary_bucket],'South Australia Summary'!C$66) + SUMIFS(existingnstable[Nameplate Capacity (MW)],existingnstable[summary_status],'South Australia Summary'!$B69,existingnstable[summary_bucket],'South Australia Summary'!C$66)</f>
        <v>0</v>
      </c>
      <c r="D69" s="45">
        <f>SUMIFS(existingstable[Nameplate Capacity (MW)],existingstable[summary_status],'South Australia Summary'!$B69,existingstable[summary_bucket],'South Australia Summary'!D$66) + SUMIFS(existingnstable[Nameplate Capacity (MW)],existingnstable[summary_status],'South Australia Summary'!$B69,existingnstable[summary_bucket],'South Australia Summary'!D$66)</f>
        <v>713.5</v>
      </c>
      <c r="E69" s="44">
        <f>SUMIFS(existingstable[Nameplate Capacity (MW)],existingstable[summary_status],'South Australia Summary'!$B69,existingstable[summary_bucket],'South Australia Summary'!E$66) + SUMIFS(existingnstable[Nameplate Capacity (MW)],existingnstable[summary_status],'South Australia Summary'!$B69,existingnstable[summary_bucket],'South Australia Summary'!E$66)</f>
        <v>1198.04</v>
      </c>
      <c r="F69" s="45">
        <f>SUMIFS(existingstable[Nameplate Capacity (MW)],existingstable[summary_status],'South Australia Summary'!$B69,existingstable[summary_bucket],'South Australia Summary'!F$66) + SUMIFS(existingnstable[Nameplate Capacity (MW)],existingnstable[summary_status],'South Australia Summary'!$B69,existingnstable[summary_bucket],'South Australia Summary'!F$66)</f>
        <v>800</v>
      </c>
      <c r="G69" s="44">
        <f>SUMIFS(existingstable[Nameplate Capacity (MW)],existingstable[summary_status],'South Australia Summary'!$B69,existingstable[summary_bucket],'South Australia Summary'!G$66) + SUMIFS(existingnstable[Nameplate Capacity (MW)],existingnstable[summary_status],'South Australia Summary'!$B69,existingnstable[summary_bucket],'South Australia Summary'!G$66)</f>
        <v>229.61779999999999</v>
      </c>
      <c r="H69" s="45">
        <f>SUMIFS(existingstable[Nameplate Capacity (MW)],existingstable[summary_status],'South Australia Summary'!$B69,existingstable[summary_bucket],'South Australia Summary'!H$66) + SUMIFS(existingnstable[Nameplate Capacity (MW)],existingnstable[summary_status],'South Australia Summary'!$B69,existingnstable[summary_bucket],'South Australia Summary'!H$66)</f>
        <v>1809.4499999999998</v>
      </c>
      <c r="I69" s="44">
        <f>SUMIFS(existingstable[Nameplate Capacity (MW)],existingstable[summary_status],'South Australia Summary'!$B69,existingstable[summary_bucket],'South Australia Summary'!I$66) + SUMIFS(existingnstable[Nameplate Capacity (MW)],existingnstable[summary_status],'South Australia Summary'!$B69,existingnstable[summary_bucket],'South Australia Summary'!I$66)</f>
        <v>3.85</v>
      </c>
      <c r="J69" s="45">
        <f>SUMIFS(existingstable[Nameplate Capacity (MW)],existingstable[summary_status],'South Australia Summary'!$B69,existingstable[summary_bucket],'South Australia Summary'!J$66) + SUMIFS(existingnstable[Nameplate Capacity (MW)],existingnstable[summary_status],'South Australia Summary'!$B69,existingnstable[summary_bucket],'South Australia Summary'!J$66)</f>
        <v>20.472999999999999</v>
      </c>
      <c r="K69" s="44">
        <f>SUMIFS(existingstable[Nameplate Capacity (MW)],existingstable[summary_status],'South Australia Summary'!$B69,existingstable[summary_bucket],'South Australia Summary'!K$66) + SUMIFS(existingnstable[Nameplate Capacity (MW)],existingnstable[summary_status],'South Australia Summary'!$B69,existingnstable[summary_bucket],'South Australia Summary'!K$66)</f>
        <v>130</v>
      </c>
      <c r="L69" s="45">
        <f>SUMIFS(existingstable[Nameplate Capacity (MW)],existingstable[summary_status],'South Australia Summary'!$B69,existingstable[summary_bucket],'South Australia Summary'!L$66) + SUMIFS(existingnstable[Nameplate Capacity (MW)],existingnstable[summary_status],'South Australia Summary'!$B69,existingnstable[summary_bucket],'South Australia Summary'!L$66)</f>
        <v>174.69800000000001</v>
      </c>
      <c r="M69" s="44">
        <f t="shared" si="1"/>
        <v>5079.6288000000004</v>
      </c>
    </row>
    <row r="70" spans="2:13" ht="15.75" thickBot="1">
      <c r="B70" s="3" t="s">
        <v>164</v>
      </c>
      <c r="C70" s="44">
        <f>SUMIFS(newdevtable[nameplatecapacity_mw_max],newdevtable[summary_status],'South Australia Summary'!$B70,newdevtable[summary_bucket],'South Australia Summary'!C$66)</f>
        <v>0</v>
      </c>
      <c r="D70" s="45">
        <f>SUMIFS(newdevtable[nameplatecapacity_mw_max],newdevtable[summary_status],'South Australia Summary'!$B70,newdevtable[summary_bucket],'South Australia Summary'!D$66)</f>
        <v>0</v>
      </c>
      <c r="E70" s="44">
        <f>SUMIFS(newdevtable[nameplatecapacity_mw_max],newdevtable[summary_status],'South Australia Summary'!$B70,newdevtable[summary_bucket],'South Australia Summary'!E$66)</f>
        <v>0</v>
      </c>
      <c r="F70" s="45">
        <f>SUMIFS(newdevtable[nameplatecapacity_mw_max],newdevtable[summary_status],'South Australia Summary'!$B70,newdevtable[summary_bucket],'South Australia Summary'!F$66)</f>
        <v>210</v>
      </c>
      <c r="G70" s="44">
        <f>SUMIFS(newdevtable[nameplatecapacity_mw_max],newdevtable[summary_status],'South Australia Summary'!$B70,newdevtable[summary_bucket],'South Australia Summary'!G$66)</f>
        <v>110</v>
      </c>
      <c r="H70" s="45">
        <f>SUMIFS(newdevtable[nameplatecapacity_mw_max],newdevtable[summary_status],'South Australia Summary'!$B70,newdevtable[summary_bucket],'South Australia Summary'!H$66)</f>
        <v>245.4</v>
      </c>
      <c r="I70" s="44">
        <f>SUMIFS(newdevtable[nameplatecapacity_mw_max],newdevtable[summary_status],'South Australia Summary'!$B70,newdevtable[summary_bucket],'South Australia Summary'!I$66)</f>
        <v>0</v>
      </c>
      <c r="J70" s="45">
        <f>SUMIFS(newdevtable[nameplatecapacity_mw_max],newdevtable[summary_status],'South Australia Summary'!$B70,newdevtable[summary_bucket],'South Australia Summary'!J$66)</f>
        <v>0</v>
      </c>
      <c r="K70" s="44">
        <f>SUMIFS(newdevtable[nameplatecapacity_mw_max],newdevtable[summary_status],'South Australia Summary'!$B70,newdevtable[summary_bucket],'South Australia Summary'!K$66)</f>
        <v>25</v>
      </c>
      <c r="L70" s="45">
        <f>SUMIFS(newdevtable[nameplatecapacity_mw_max],newdevtable[summary_status],'South Australia Summary'!$B70,newdevtable[summary_bucket],'South Australia Summary'!L$66)</f>
        <v>0</v>
      </c>
      <c r="M70" s="44">
        <f t="shared" si="1"/>
        <v>590.4</v>
      </c>
    </row>
    <row r="71" spans="2:13" ht="15.75" thickBot="1">
      <c r="B71" s="3" t="s">
        <v>165</v>
      </c>
      <c r="C71" s="44">
        <f>SUMIFS(newdevtable[nameplatecapacity_mw_max],newdevtable[summary_status],'South Australia Summary'!$B71,newdevtable[summary_bucket],'South Australia Summary'!C$66)</f>
        <v>0</v>
      </c>
      <c r="D71" s="45">
        <f>SUMIFS(newdevtable[nameplatecapacity_mw_max],newdevtable[summary_status],'South Australia Summary'!$B71,newdevtable[summary_bucket],'South Australia Summary'!D$66)</f>
        <v>45</v>
      </c>
      <c r="E71" s="44">
        <f>SUMIFS(newdevtable[nameplatecapacity_mw_max],newdevtable[summary_status],'South Australia Summary'!$B71,newdevtable[summary_bucket],'South Australia Summary'!E$66)</f>
        <v>659</v>
      </c>
      <c r="F71" s="45">
        <f>SUMIFS(newdevtable[nameplatecapacity_mw_max],newdevtable[summary_status],'South Australia Summary'!$B71,newdevtable[summary_bucket],'South Australia Summary'!F$66)</f>
        <v>0</v>
      </c>
      <c r="G71" s="44">
        <f>SUMIFS(newdevtable[nameplatecapacity_mw_max],newdevtable[summary_status],'South Australia Summary'!$B71,newdevtable[summary_bucket],'South Australia Summary'!G$66)</f>
        <v>2619.5</v>
      </c>
      <c r="H71" s="45">
        <f>SUMIFS(newdevtable[nameplatecapacity_mw_max],newdevtable[summary_status],'South Australia Summary'!$B71,newdevtable[summary_bucket],'South Australia Summary'!H$66)</f>
        <v>2693.8</v>
      </c>
      <c r="I71" s="44">
        <f>SUMIFS(newdevtable[nameplatecapacity_mw_max],newdevtable[summary_status],'South Australia Summary'!$B71,newdevtable[summary_bucket],'South Australia Summary'!I$66)</f>
        <v>1025</v>
      </c>
      <c r="J71" s="45">
        <f>SUMIFS(newdevtable[nameplatecapacity_mw_max],newdevtable[summary_status],'South Australia Summary'!$B71,newdevtable[summary_bucket],'South Australia Summary'!J$66)</f>
        <v>15</v>
      </c>
      <c r="K71" s="44">
        <f>SUMIFS(newdevtable[nameplatecapacity_mw_max],newdevtable[summary_status],'South Australia Summary'!$B71,newdevtable[summary_bucket],'South Australia Summary'!K$66)</f>
        <v>488</v>
      </c>
      <c r="L71" s="45">
        <f>SUMIFS(newdevtable[nameplatecapacity_mw_max],newdevtable[summary_status],'South Australia Summary'!$B71,newdevtable[summary_bucket],'South Australia Summary'!L$66)</f>
        <v>0</v>
      </c>
      <c r="M71" s="44">
        <f>SUM(C71:L71)</f>
        <v>7545.3</v>
      </c>
    </row>
    <row r="72" spans="2:13" ht="15.75" thickBot="1">
      <c r="B72" s="3" t="s">
        <v>166</v>
      </c>
      <c r="C72" s="44">
        <f>SUMIFS(existingstable[Nameplate Capacity (MW)],existingstable[summary_status],'South Australia Summary'!$B72,existingstable[summary_bucket],'South Australia Summary'!C$66) + SUMIFS(existingnstable[Nameplate Capacity (MW)],existingnstable[summary_status],'South Australia Summary'!$B72,existingnstable[summary_bucket],'South Australia Summary'!C$66)</f>
        <v>0</v>
      </c>
      <c r="D72" s="45">
        <f>SUMIFS(existingstable[Nameplate Capacity (MW)],existingstable[summary_status],'South Australia Summary'!$B72,existingstable[summary_bucket],'South Australia Summary'!D$66) + SUMIFS(existingnstable[Nameplate Capacity (MW)],existingnstable[summary_status],'South Australia Summary'!$B72,existingnstable[summary_bucket],'South Australia Summary'!D$66)</f>
        <v>0</v>
      </c>
      <c r="E72" s="44">
        <f>SUMIFS(existingstable[Nameplate Capacity (MW)],existingstable[summary_status],'South Australia Summary'!$B72,existingstable[summary_bucket],'South Australia Summary'!E$66) + SUMIFS(existingnstable[Nameplate Capacity (MW)],existingnstable[summary_status],'South Australia Summary'!$B72,existingnstable[summary_bucket],'South Australia Summary'!E$66)</f>
        <v>0</v>
      </c>
      <c r="F72" s="45">
        <f>SUMIFS(existingstable[Nameplate Capacity (MW)],existingstable[summary_status],'South Australia Summary'!$B72,existingstable[summary_bucket],'South Australia Summary'!F$66) + SUMIFS(existingnstable[Nameplate Capacity (MW)],existingnstable[summary_status],'South Australia Summary'!$B72,existingnstable[summary_bucket],'South Australia Summary'!F$66)</f>
        <v>0</v>
      </c>
      <c r="G72" s="44">
        <f>SUMIFS(existingstable[Nameplate Capacity (MW)],existingstable[summary_status],'South Australia Summary'!$B72,existingstable[summary_bucket],'South Australia Summary'!G$66) + SUMIFS(existingnstable[Nameplate Capacity (MW)],existingnstable[summary_status],'South Australia Summary'!$B72,existingnstable[summary_bucket],'South Australia Summary'!G$66)</f>
        <v>0</v>
      </c>
      <c r="H72" s="45">
        <f>SUMIFS(existingstable[Nameplate Capacity (MW)],existingstable[summary_status],'South Australia Summary'!$B72,existingstable[summary_bucket],'South Australia Summary'!H$66) + SUMIFS(existingnstable[Nameplate Capacity (MW)],existingnstable[summary_status],'South Australia Summary'!$B72,existingnstable[summary_bucket],'South Australia Summary'!H$66)</f>
        <v>0</v>
      </c>
      <c r="I72" s="44">
        <f>SUMIFS(existingstable[Nameplate Capacity (MW)],existingstable[summary_status],'South Australia Summary'!$B72,existingstable[summary_bucket],'South Australia Summary'!I$66) + SUMIFS(existingnstable[Nameplate Capacity (MW)],existingnstable[summary_status],'South Australia Summary'!$B72,existingnstable[summary_bucket],'South Australia Summary'!I$66)</f>
        <v>0</v>
      </c>
      <c r="J72" s="45">
        <f>SUMIFS(existingstable[Nameplate Capacity (MW)],existingstable[summary_status],'South Australia Summary'!$B72,existingstable[summary_bucket],'South Australia Summary'!J$66) + SUMIFS(existingnstable[Nameplate Capacity (MW)],existingnstable[summary_status],'South Australia Summary'!$B72,existingnstable[summary_bucket],'South Australia Summary'!J$66)</f>
        <v>0</v>
      </c>
      <c r="K72" s="44">
        <f>SUMIFS(existingstable[Nameplate Capacity (MW)],existingstable[summary_status],'South Australia Summary'!$B72,existingstable[summary_bucket],'South Australia Summary'!K$66) + SUMIFS(existingnstable[Nameplate Capacity (MW)],existingnstable[summary_status],'South Australia Summary'!$B72,existingnstable[summary_bucket],'South Australia Summary'!K$66)</f>
        <v>0</v>
      </c>
      <c r="L72" s="45">
        <f>SUMIFS(existingstable[Nameplate Capacity (MW)],existingstable[summary_status],'South Australia Summary'!$B72,existingstable[summary_bucket],'South Australia Summary'!L$66) + SUMIFS(existingnstable[Nameplate Capacity (MW)],existingnstable[summary_status],'South Australia Summary'!$B72,existingnstable[summary_bucket],'South Australia Summary'!L$66)</f>
        <v>0</v>
      </c>
      <c r="M72" s="44">
        <f t="shared" si="1"/>
        <v>0</v>
      </c>
    </row>
    <row r="73" spans="2:13">
      <c r="B73" s="156" t="s">
        <v>167</v>
      </c>
      <c r="C73" s="157"/>
      <c r="D73" s="157"/>
      <c r="E73" s="157"/>
      <c r="F73" s="157"/>
      <c r="G73" s="157"/>
      <c r="H73" s="157"/>
      <c r="I73" s="157"/>
      <c r="J73" s="157"/>
      <c r="K73" s="157"/>
      <c r="L73" s="157"/>
    </row>
    <row r="74" spans="2:13">
      <c r="B74" s="156" t="s">
        <v>465</v>
      </c>
      <c r="C74" s="157"/>
      <c r="D74" s="157"/>
      <c r="E74" s="157"/>
      <c r="F74" s="157"/>
      <c r="G74" s="157"/>
      <c r="H74" s="157"/>
      <c r="I74" s="157"/>
      <c r="J74" s="157"/>
      <c r="K74" s="157"/>
      <c r="L74" s="157"/>
    </row>
  </sheetData>
  <mergeCells count="10">
    <mergeCell ref="B74:L74"/>
    <mergeCell ref="B73:L73"/>
    <mergeCell ref="B5:I5"/>
    <mergeCell ref="B23:F23"/>
    <mergeCell ref="B28:N28"/>
    <mergeCell ref="B31:N31"/>
    <mergeCell ref="B33:N33"/>
    <mergeCell ref="B34:J34"/>
    <mergeCell ref="B35:J35"/>
    <mergeCell ref="B42:N42"/>
  </mergeCells>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P114"/>
  <sheetViews>
    <sheetView showGridLines="0" workbookViewId="0"/>
  </sheetViews>
  <sheetFormatPr defaultColWidth="9.140625" defaultRowHeight="15"/>
  <cols>
    <col min="1" max="1" width="4.7109375" style="11" customWidth="1"/>
    <col min="2" max="9" width="9.140625" style="11"/>
    <col min="10" max="10" width="9.140625" style="11" customWidth="1"/>
    <col min="11" max="16384" width="9.140625" style="11"/>
  </cols>
  <sheetData>
    <row r="1" spans="2:14" ht="20.25" thickBot="1">
      <c r="B1" s="1" t="s">
        <v>302</v>
      </c>
    </row>
    <row r="2" spans="2:14">
      <c r="B2" s="33" t="s">
        <v>303</v>
      </c>
      <c r="C2" s="27"/>
      <c r="D2" s="27"/>
      <c r="E2" s="33"/>
      <c r="F2" s="33"/>
      <c r="G2" s="33"/>
      <c r="H2" s="33"/>
      <c r="I2" s="33"/>
      <c r="J2" s="33"/>
      <c r="K2" s="33"/>
      <c r="L2" s="33"/>
      <c r="M2" s="33"/>
      <c r="N2" s="33"/>
    </row>
    <row r="3" spans="2:14">
      <c r="B3" s="27"/>
      <c r="C3" s="27"/>
      <c r="D3" s="27"/>
      <c r="E3" s="33"/>
      <c r="F3" s="33"/>
      <c r="G3" s="33"/>
      <c r="H3" s="33"/>
      <c r="I3" s="33"/>
      <c r="J3" s="33"/>
      <c r="K3" s="33"/>
      <c r="L3" s="33"/>
      <c r="M3" s="33"/>
      <c r="N3" s="33"/>
    </row>
    <row r="4" spans="2:14">
      <c r="B4" s="28" t="s">
        <v>304</v>
      </c>
      <c r="C4" s="27"/>
      <c r="D4" s="46">
        <v>41263</v>
      </c>
      <c r="E4" s="33"/>
      <c r="F4" s="33"/>
      <c r="G4" s="33"/>
      <c r="H4" s="33"/>
      <c r="I4" s="33"/>
      <c r="J4" s="33"/>
      <c r="K4" s="33"/>
      <c r="L4" s="33"/>
      <c r="M4" s="33"/>
      <c r="N4" s="33"/>
    </row>
    <row r="5" spans="2:14">
      <c r="B5" s="33" t="s">
        <v>305</v>
      </c>
      <c r="C5" s="33"/>
      <c r="D5" s="33"/>
      <c r="E5" s="33"/>
      <c r="F5" s="33"/>
      <c r="G5" s="33"/>
      <c r="H5" s="33"/>
      <c r="I5" s="33"/>
      <c r="J5" s="33"/>
      <c r="K5" s="33"/>
      <c r="L5" s="33"/>
      <c r="M5" s="33"/>
      <c r="N5" s="33"/>
    </row>
    <row r="6" spans="2:14">
      <c r="B6" s="33" t="s">
        <v>306</v>
      </c>
      <c r="C6" s="33"/>
      <c r="D6" s="33"/>
      <c r="E6" s="33"/>
      <c r="F6" s="33"/>
      <c r="G6" s="33"/>
      <c r="H6" s="33"/>
      <c r="I6" s="33"/>
      <c r="J6" s="33"/>
      <c r="K6" s="33"/>
      <c r="L6" s="33"/>
      <c r="M6" s="33"/>
      <c r="N6" s="47"/>
    </row>
    <row r="7" spans="2:14">
      <c r="B7" s="33"/>
      <c r="C7" s="33"/>
      <c r="D7" s="33"/>
      <c r="E7" s="33"/>
      <c r="F7" s="33"/>
      <c r="G7" s="33"/>
      <c r="H7" s="33"/>
      <c r="I7" s="33"/>
      <c r="J7" s="33"/>
      <c r="K7" s="33"/>
      <c r="L7" s="33"/>
      <c r="M7" s="33"/>
      <c r="N7" s="33"/>
    </row>
    <row r="8" spans="2:14">
      <c r="B8" s="28" t="s">
        <v>304</v>
      </c>
      <c r="C8" s="33"/>
      <c r="D8" s="46">
        <v>41455</v>
      </c>
      <c r="E8" s="33"/>
      <c r="F8" s="33"/>
      <c r="G8" s="33"/>
      <c r="H8" s="33"/>
      <c r="I8" s="33"/>
      <c r="J8" s="33"/>
      <c r="K8" s="33"/>
      <c r="L8" s="33"/>
      <c r="M8" s="33"/>
      <c r="N8" s="33"/>
    </row>
    <row r="9" spans="2:14">
      <c r="B9" s="48" t="s">
        <v>307</v>
      </c>
      <c r="C9" s="33"/>
      <c r="D9" s="33"/>
      <c r="E9" s="33"/>
      <c r="F9" s="33"/>
      <c r="G9" s="33"/>
      <c r="H9" s="33"/>
      <c r="I9" s="33"/>
      <c r="J9" s="33"/>
      <c r="K9" s="33"/>
      <c r="L9" s="33"/>
      <c r="M9" s="33"/>
      <c r="N9" s="33"/>
    </row>
    <row r="10" spans="2:14">
      <c r="B10" s="33" t="s">
        <v>308</v>
      </c>
      <c r="C10" s="33"/>
      <c r="D10" s="33"/>
      <c r="E10" s="33"/>
      <c r="F10" s="33"/>
      <c r="G10" s="33"/>
      <c r="H10" s="33"/>
      <c r="I10" s="33"/>
      <c r="J10" s="33"/>
      <c r="K10" s="33"/>
      <c r="L10" s="33"/>
      <c r="M10" s="33"/>
      <c r="N10" s="33"/>
    </row>
    <row r="11" spans="2:14">
      <c r="B11" s="33" t="s">
        <v>309</v>
      </c>
      <c r="C11" s="33"/>
      <c r="D11" s="33"/>
      <c r="E11" s="33"/>
      <c r="F11" s="33"/>
      <c r="G11" s="33"/>
      <c r="H11" s="33"/>
      <c r="I11" s="33"/>
      <c r="J11" s="33"/>
      <c r="K11" s="33"/>
      <c r="L11" s="33"/>
      <c r="M11" s="33"/>
      <c r="N11" s="33"/>
    </row>
    <row r="12" spans="2:14">
      <c r="B12" s="48" t="s">
        <v>310</v>
      </c>
      <c r="C12" s="33"/>
      <c r="D12" s="33"/>
      <c r="E12" s="33"/>
      <c r="F12" s="33"/>
      <c r="G12" s="33"/>
      <c r="H12" s="33"/>
      <c r="I12" s="33"/>
      <c r="J12" s="33"/>
      <c r="K12" s="33"/>
      <c r="L12" s="33"/>
      <c r="M12" s="33"/>
      <c r="N12" s="33"/>
    </row>
    <row r="13" spans="2:14">
      <c r="B13" s="33" t="s">
        <v>311</v>
      </c>
      <c r="C13" s="33"/>
      <c r="D13" s="33"/>
      <c r="E13" s="33"/>
      <c r="F13" s="33"/>
      <c r="G13" s="33"/>
      <c r="H13" s="33"/>
      <c r="I13" s="33"/>
      <c r="J13" s="33"/>
      <c r="K13" s="33"/>
      <c r="L13" s="33"/>
      <c r="M13" s="33"/>
      <c r="N13" s="33"/>
    </row>
    <row r="14" spans="2:14">
      <c r="B14" s="48" t="s">
        <v>312</v>
      </c>
      <c r="C14" s="33"/>
      <c r="D14" s="33"/>
      <c r="E14" s="33"/>
      <c r="F14" s="33"/>
      <c r="G14" s="33"/>
      <c r="H14" s="33"/>
      <c r="I14" s="33"/>
      <c r="J14" s="33"/>
      <c r="K14" s="33"/>
      <c r="L14" s="33"/>
      <c r="M14" s="33"/>
      <c r="N14" s="33"/>
    </row>
    <row r="15" spans="2:14">
      <c r="B15" s="33" t="s">
        <v>311</v>
      </c>
      <c r="C15" s="33"/>
      <c r="D15" s="33"/>
      <c r="E15" s="33"/>
      <c r="F15" s="33"/>
      <c r="G15" s="33"/>
      <c r="H15" s="33"/>
      <c r="I15" s="33"/>
      <c r="J15" s="33"/>
      <c r="K15" s="33"/>
      <c r="L15" s="33"/>
      <c r="M15" s="33"/>
      <c r="N15" s="33"/>
    </row>
    <row r="16" spans="2:14">
      <c r="B16" s="34"/>
      <c r="C16" s="33"/>
      <c r="D16" s="33"/>
      <c r="E16" s="33"/>
      <c r="F16" s="33"/>
      <c r="G16" s="33"/>
      <c r="H16" s="33"/>
      <c r="I16" s="33"/>
      <c r="J16" s="33"/>
      <c r="K16" s="33"/>
      <c r="L16" s="33"/>
      <c r="M16" s="33"/>
      <c r="N16" s="33"/>
    </row>
    <row r="17" spans="2:14">
      <c r="B17" s="28" t="s">
        <v>304</v>
      </c>
      <c r="C17" s="27"/>
      <c r="D17" s="46">
        <v>41593</v>
      </c>
      <c r="E17" s="33"/>
      <c r="F17" s="33"/>
      <c r="G17" s="33"/>
      <c r="H17" s="33"/>
      <c r="I17" s="33"/>
      <c r="J17" s="33"/>
      <c r="K17" s="33"/>
      <c r="L17" s="33"/>
      <c r="M17" s="33"/>
      <c r="N17" s="33"/>
    </row>
    <row r="18" spans="2:14" ht="27.75" customHeight="1">
      <c r="B18" s="169" t="s">
        <v>313</v>
      </c>
      <c r="C18" s="169"/>
      <c r="D18" s="169"/>
      <c r="E18" s="169"/>
      <c r="F18" s="169"/>
      <c r="G18" s="169"/>
      <c r="H18" s="169"/>
      <c r="I18" s="169"/>
      <c r="J18" s="169"/>
      <c r="K18" s="169"/>
      <c r="L18" s="169"/>
      <c r="M18" s="169"/>
      <c r="N18" s="33"/>
    </row>
    <row r="19" spans="2:14" ht="27.75" customHeight="1">
      <c r="B19" s="170" t="s">
        <v>314</v>
      </c>
      <c r="C19" s="170"/>
      <c r="D19" s="170"/>
      <c r="E19" s="170"/>
      <c r="F19" s="170"/>
      <c r="G19" s="170"/>
      <c r="H19" s="170"/>
      <c r="I19" s="170"/>
      <c r="J19" s="170"/>
      <c r="K19" s="170"/>
      <c r="L19" s="170"/>
      <c r="M19" s="170"/>
      <c r="N19" s="33"/>
    </row>
    <row r="20" spans="2:14">
      <c r="B20" s="33"/>
      <c r="C20" s="33"/>
      <c r="D20" s="33"/>
      <c r="E20" s="33"/>
      <c r="F20" s="33"/>
      <c r="G20" s="33"/>
      <c r="H20" s="33"/>
      <c r="I20" s="33"/>
      <c r="J20" s="33"/>
      <c r="K20" s="33"/>
      <c r="L20" s="33"/>
      <c r="M20" s="33"/>
      <c r="N20" s="33"/>
    </row>
    <row r="21" spans="2:14">
      <c r="B21" s="28" t="s">
        <v>304</v>
      </c>
      <c r="C21" s="27"/>
      <c r="D21" s="46">
        <v>41698</v>
      </c>
      <c r="E21" s="33"/>
      <c r="F21" s="33"/>
      <c r="G21" s="33"/>
      <c r="H21" s="33"/>
      <c r="I21" s="33"/>
      <c r="J21" s="33"/>
      <c r="K21" s="33"/>
      <c r="L21" s="33"/>
      <c r="M21" s="33"/>
      <c r="N21" s="33"/>
    </row>
    <row r="22" spans="2:14" ht="27.75" customHeight="1">
      <c r="B22" s="170" t="s">
        <v>315</v>
      </c>
      <c r="C22" s="170"/>
      <c r="D22" s="170"/>
      <c r="E22" s="170"/>
      <c r="F22" s="170"/>
      <c r="G22" s="170"/>
      <c r="H22" s="170"/>
      <c r="I22" s="170"/>
      <c r="J22" s="170"/>
      <c r="K22" s="170"/>
      <c r="L22" s="170"/>
      <c r="M22" s="170"/>
      <c r="N22" s="33"/>
    </row>
    <row r="23" spans="2:14">
      <c r="B23" s="33"/>
      <c r="C23" s="33"/>
      <c r="D23" s="33"/>
      <c r="E23" s="33"/>
      <c r="F23" s="33"/>
      <c r="G23" s="33"/>
      <c r="H23" s="33"/>
      <c r="I23" s="33"/>
      <c r="J23" s="33"/>
      <c r="K23" s="33"/>
      <c r="L23" s="33"/>
      <c r="M23" s="33"/>
      <c r="N23" s="33"/>
    </row>
    <row r="24" spans="2:14">
      <c r="B24" s="28" t="s">
        <v>304</v>
      </c>
      <c r="C24" s="27"/>
      <c r="D24" s="46">
        <v>41789</v>
      </c>
      <c r="E24" s="33"/>
      <c r="F24" s="33"/>
      <c r="G24" s="33"/>
      <c r="H24" s="33"/>
      <c r="I24" s="33"/>
      <c r="J24" s="33"/>
      <c r="K24" s="33"/>
      <c r="L24" s="33"/>
      <c r="M24" s="33"/>
      <c r="N24" s="33"/>
    </row>
    <row r="25" spans="2:14" ht="27.75" customHeight="1">
      <c r="B25" s="170" t="s">
        <v>316</v>
      </c>
      <c r="C25" s="170"/>
      <c r="D25" s="170"/>
      <c r="E25" s="170"/>
      <c r="F25" s="170"/>
      <c r="G25" s="170"/>
      <c r="H25" s="170"/>
      <c r="I25" s="170"/>
      <c r="J25" s="170"/>
      <c r="K25" s="170"/>
      <c r="L25" s="170"/>
      <c r="M25" s="170"/>
      <c r="N25" s="33"/>
    </row>
    <row r="26" spans="2:14">
      <c r="B26" s="33"/>
      <c r="C26" s="33"/>
      <c r="D26" s="33"/>
      <c r="E26" s="33"/>
      <c r="F26" s="33"/>
      <c r="G26" s="33"/>
      <c r="H26" s="33"/>
      <c r="I26" s="33"/>
      <c r="J26" s="33"/>
      <c r="K26" s="33"/>
      <c r="L26" s="33"/>
      <c r="M26" s="33"/>
      <c r="N26" s="33"/>
    </row>
    <row r="27" spans="2:14">
      <c r="B27" s="28" t="s">
        <v>304</v>
      </c>
      <c r="C27" s="33"/>
      <c r="D27" s="46">
        <v>41858</v>
      </c>
      <c r="E27" s="33"/>
      <c r="F27" s="33"/>
      <c r="G27" s="33"/>
      <c r="H27" s="33"/>
      <c r="I27" s="33"/>
      <c r="J27" s="33"/>
      <c r="K27" s="33"/>
      <c r="L27" s="33"/>
      <c r="M27" s="33"/>
      <c r="N27" s="33"/>
    </row>
    <row r="28" spans="2:14" ht="27.75" customHeight="1">
      <c r="B28" s="33" t="s">
        <v>317</v>
      </c>
      <c r="C28" s="33"/>
      <c r="D28" s="33"/>
      <c r="E28" s="33"/>
      <c r="F28" s="33"/>
      <c r="G28" s="33"/>
      <c r="H28" s="33"/>
      <c r="I28" s="33"/>
      <c r="J28" s="33"/>
      <c r="K28" s="33"/>
      <c r="L28" s="33"/>
      <c r="M28" s="33"/>
      <c r="N28" s="33"/>
    </row>
    <row r="29" spans="2:14" ht="27.75" customHeight="1">
      <c r="B29" s="33" t="s">
        <v>318</v>
      </c>
      <c r="C29" s="33"/>
      <c r="D29" s="33"/>
      <c r="E29" s="33"/>
      <c r="F29" s="33"/>
      <c r="G29" s="33"/>
      <c r="H29" s="33"/>
      <c r="I29" s="33"/>
      <c r="J29" s="33"/>
      <c r="K29" s="33"/>
      <c r="L29" s="33"/>
      <c r="M29" s="33"/>
      <c r="N29" s="33"/>
    </row>
    <row r="30" spans="2:14">
      <c r="B30" s="33"/>
      <c r="C30" s="33"/>
      <c r="D30" s="33"/>
      <c r="E30" s="33"/>
      <c r="F30" s="33"/>
      <c r="G30" s="33"/>
      <c r="H30" s="33"/>
      <c r="I30" s="33"/>
      <c r="J30" s="33"/>
      <c r="K30" s="33"/>
      <c r="L30" s="33"/>
      <c r="M30" s="33"/>
      <c r="N30" s="33"/>
    </row>
    <row r="31" spans="2:14">
      <c r="B31" s="28" t="s">
        <v>304</v>
      </c>
      <c r="C31" s="33"/>
      <c r="D31" s="46">
        <v>41983</v>
      </c>
      <c r="E31" s="33"/>
      <c r="F31" s="33"/>
      <c r="G31" s="33"/>
      <c r="H31" s="33"/>
      <c r="I31" s="33"/>
      <c r="J31" s="33"/>
      <c r="K31" s="33"/>
      <c r="L31" s="33"/>
      <c r="M31" s="33"/>
      <c r="N31" s="33"/>
    </row>
    <row r="32" spans="2:14" ht="27.75" customHeight="1">
      <c r="B32" s="169" t="s">
        <v>319</v>
      </c>
      <c r="C32" s="169"/>
      <c r="D32" s="169"/>
      <c r="E32" s="169"/>
      <c r="F32" s="169"/>
      <c r="G32" s="169"/>
      <c r="H32" s="169"/>
      <c r="I32" s="169"/>
      <c r="J32" s="169"/>
      <c r="K32" s="169"/>
      <c r="L32" s="169"/>
      <c r="M32" s="169"/>
      <c r="N32" s="33"/>
    </row>
    <row r="33" spans="2:16" ht="27.75" customHeight="1">
      <c r="B33" s="171" t="s">
        <v>320</v>
      </c>
      <c r="C33" s="169"/>
      <c r="D33" s="169"/>
      <c r="E33" s="169"/>
      <c r="F33" s="169"/>
      <c r="G33" s="169"/>
      <c r="H33" s="169"/>
      <c r="I33" s="169"/>
      <c r="J33" s="169"/>
      <c r="K33" s="169"/>
      <c r="L33" s="169"/>
      <c r="M33" s="169"/>
      <c r="N33" s="33"/>
    </row>
    <row r="34" spans="2:16">
      <c r="B34" s="33"/>
      <c r="C34" s="33"/>
      <c r="D34" s="33"/>
      <c r="E34" s="33"/>
      <c r="F34" s="33"/>
      <c r="G34" s="33"/>
      <c r="H34" s="33"/>
      <c r="I34" s="33"/>
      <c r="J34" s="33"/>
      <c r="K34" s="33"/>
      <c r="L34" s="33"/>
      <c r="M34" s="33"/>
      <c r="N34" s="33"/>
    </row>
    <row r="35" spans="2:16">
      <c r="B35" s="28" t="s">
        <v>304</v>
      </c>
      <c r="C35" s="33"/>
      <c r="D35" s="46">
        <v>42109</v>
      </c>
      <c r="E35" s="33"/>
      <c r="F35" s="33"/>
      <c r="G35" s="33"/>
      <c r="H35" s="33"/>
      <c r="I35" s="33"/>
      <c r="J35" s="33"/>
      <c r="K35" s="33"/>
      <c r="L35" s="33"/>
      <c r="M35" s="33"/>
      <c r="N35" s="33"/>
    </row>
    <row r="36" spans="2:16" ht="27.75" customHeight="1">
      <c r="B36" s="169" t="s">
        <v>321</v>
      </c>
      <c r="C36" s="169"/>
      <c r="D36" s="169"/>
      <c r="E36" s="169"/>
      <c r="F36" s="169"/>
      <c r="G36" s="169"/>
      <c r="H36" s="169"/>
      <c r="I36" s="169"/>
      <c r="J36" s="169"/>
      <c r="K36" s="169"/>
      <c r="L36" s="169"/>
      <c r="M36" s="169"/>
      <c r="N36" s="33"/>
    </row>
    <row r="37" spans="2:16" ht="27.75" customHeight="1">
      <c r="B37" s="169" t="s">
        <v>322</v>
      </c>
      <c r="C37" s="169"/>
      <c r="D37" s="169"/>
      <c r="E37" s="169"/>
      <c r="F37" s="169"/>
      <c r="G37" s="169"/>
      <c r="H37" s="169"/>
      <c r="I37" s="169"/>
      <c r="J37" s="169"/>
      <c r="K37" s="169"/>
      <c r="L37" s="169"/>
      <c r="M37" s="169"/>
      <c r="N37" s="33"/>
    </row>
    <row r="38" spans="2:16" ht="27.75" customHeight="1">
      <c r="B38" s="170" t="s">
        <v>323</v>
      </c>
      <c r="C38" s="170"/>
      <c r="D38" s="170"/>
      <c r="E38" s="170"/>
      <c r="F38" s="170"/>
      <c r="G38" s="170"/>
      <c r="H38" s="170"/>
      <c r="I38" s="170"/>
      <c r="J38" s="170"/>
      <c r="K38" s="170"/>
      <c r="L38" s="170"/>
      <c r="M38" s="170"/>
      <c r="N38" s="170"/>
      <c r="O38" s="170"/>
      <c r="P38" s="170"/>
    </row>
    <row r="39" spans="2:16">
      <c r="B39" s="33"/>
      <c r="C39" s="33"/>
      <c r="D39" s="33"/>
      <c r="E39" s="33"/>
      <c r="F39" s="33"/>
      <c r="G39" s="33"/>
      <c r="H39" s="33"/>
      <c r="I39" s="33"/>
      <c r="J39" s="33"/>
      <c r="K39" s="33"/>
      <c r="L39" s="33"/>
      <c r="M39" s="33"/>
      <c r="N39" s="33"/>
    </row>
    <row r="40" spans="2:16">
      <c r="B40" s="28" t="s">
        <v>304</v>
      </c>
      <c r="C40" s="33"/>
      <c r="D40" s="46">
        <v>42229</v>
      </c>
      <c r="E40" s="33"/>
      <c r="F40" s="33"/>
      <c r="G40" s="33"/>
      <c r="H40" s="33"/>
      <c r="I40" s="33"/>
      <c r="J40" s="33"/>
      <c r="K40" s="33"/>
      <c r="L40" s="33"/>
      <c r="M40" s="33"/>
      <c r="N40" s="33"/>
    </row>
    <row r="41" spans="2:16" ht="27.75" customHeight="1">
      <c r="B41" s="169" t="s">
        <v>324</v>
      </c>
      <c r="C41" s="169"/>
      <c r="D41" s="169"/>
      <c r="E41" s="169"/>
      <c r="F41" s="169"/>
      <c r="G41" s="169"/>
      <c r="H41" s="169"/>
      <c r="I41" s="169"/>
      <c r="J41" s="169"/>
      <c r="K41" s="169"/>
      <c r="L41" s="169"/>
      <c r="M41" s="169"/>
      <c r="N41" s="33"/>
    </row>
    <row r="42" spans="2:16" ht="27.75" customHeight="1">
      <c r="B42" s="171" t="s">
        <v>325</v>
      </c>
      <c r="C42" s="171"/>
      <c r="D42" s="171"/>
      <c r="E42" s="171"/>
      <c r="F42" s="171"/>
      <c r="G42" s="171"/>
      <c r="H42" s="171"/>
      <c r="I42" s="171"/>
      <c r="J42" s="171"/>
      <c r="K42" s="171"/>
      <c r="L42" s="171"/>
      <c r="M42" s="171"/>
      <c r="N42" s="33"/>
    </row>
    <row r="43" spans="2:16">
      <c r="B43" s="33"/>
      <c r="C43" s="33"/>
      <c r="D43" s="33"/>
      <c r="E43" s="33"/>
      <c r="F43" s="33"/>
      <c r="G43" s="33"/>
      <c r="H43" s="33"/>
      <c r="I43" s="33"/>
      <c r="J43" s="33"/>
      <c r="K43" s="33"/>
      <c r="L43" s="33"/>
      <c r="M43" s="33"/>
      <c r="N43" s="33"/>
    </row>
    <row r="44" spans="2:16">
      <c r="B44" s="28" t="s">
        <v>304</v>
      </c>
      <c r="C44" s="33"/>
      <c r="D44" s="46">
        <v>42300</v>
      </c>
      <c r="E44" s="33"/>
      <c r="F44" s="33"/>
      <c r="G44" s="33"/>
      <c r="H44" s="33"/>
      <c r="I44" s="33"/>
      <c r="J44" s="33"/>
      <c r="K44" s="33"/>
      <c r="L44" s="33"/>
      <c r="M44" s="33"/>
      <c r="N44" s="33"/>
    </row>
    <row r="45" spans="2:16" ht="27.75" customHeight="1">
      <c r="B45" s="169" t="s">
        <v>326</v>
      </c>
      <c r="C45" s="169"/>
      <c r="D45" s="169"/>
      <c r="E45" s="169"/>
      <c r="F45" s="169"/>
      <c r="G45" s="169"/>
      <c r="H45" s="169"/>
      <c r="I45" s="169"/>
      <c r="J45" s="169"/>
      <c r="K45" s="169"/>
      <c r="L45" s="169"/>
      <c r="M45" s="169"/>
      <c r="N45" s="33"/>
    </row>
    <row r="46" spans="2:16" ht="27.75" customHeight="1">
      <c r="B46" s="169" t="s">
        <v>327</v>
      </c>
      <c r="C46" s="169"/>
      <c r="D46" s="169"/>
      <c r="E46" s="169"/>
      <c r="F46" s="169"/>
      <c r="G46" s="169"/>
      <c r="H46" s="169"/>
      <c r="I46" s="169"/>
      <c r="J46" s="169"/>
      <c r="K46" s="169"/>
      <c r="L46" s="169"/>
      <c r="M46" s="169"/>
      <c r="N46" s="33"/>
    </row>
    <row r="47" spans="2:16" ht="27.75" customHeight="1">
      <c r="B47" s="171" t="s">
        <v>328</v>
      </c>
      <c r="C47" s="169"/>
      <c r="D47" s="169"/>
      <c r="E47" s="169"/>
      <c r="F47" s="169"/>
      <c r="G47" s="169"/>
      <c r="H47" s="169"/>
      <c r="I47" s="169"/>
      <c r="J47" s="169"/>
      <c r="K47" s="169"/>
      <c r="L47" s="169"/>
      <c r="M47" s="169"/>
      <c r="N47" s="33"/>
    </row>
    <row r="48" spans="2:16" ht="27.75" customHeight="1">
      <c r="B48" s="170" t="s">
        <v>329</v>
      </c>
      <c r="C48" s="170"/>
      <c r="D48" s="170"/>
      <c r="E48" s="170"/>
      <c r="F48" s="170"/>
      <c r="G48" s="170"/>
      <c r="H48" s="170"/>
      <c r="I48" s="170"/>
      <c r="J48" s="170"/>
      <c r="K48" s="170"/>
      <c r="L48" s="170"/>
      <c r="M48" s="170"/>
      <c r="N48" s="33"/>
    </row>
    <row r="49" spans="2:14" ht="27.75" customHeight="1">
      <c r="B49" s="171" t="s">
        <v>330</v>
      </c>
      <c r="C49" s="169"/>
      <c r="D49" s="169"/>
      <c r="E49" s="169"/>
      <c r="F49" s="169"/>
      <c r="G49" s="169"/>
      <c r="H49" s="169"/>
      <c r="I49" s="169"/>
      <c r="J49" s="169"/>
      <c r="K49" s="169"/>
      <c r="L49" s="169"/>
      <c r="M49" s="169"/>
      <c r="N49" s="33"/>
    </row>
    <row r="50" spans="2:14" ht="27.75" customHeight="1">
      <c r="B50" s="48" t="s">
        <v>331</v>
      </c>
      <c r="C50" s="33"/>
      <c r="D50" s="33"/>
      <c r="E50" s="33"/>
      <c r="F50" s="33"/>
      <c r="G50" s="33"/>
      <c r="H50" s="33"/>
      <c r="I50" s="33"/>
      <c r="J50" s="33"/>
      <c r="K50" s="33"/>
      <c r="L50" s="33"/>
      <c r="M50" s="33"/>
      <c r="N50" s="33"/>
    </row>
    <row r="51" spans="2:14">
      <c r="B51" s="33"/>
      <c r="C51" s="33"/>
      <c r="D51" s="33"/>
      <c r="E51" s="33"/>
      <c r="F51" s="33"/>
      <c r="G51" s="33"/>
      <c r="H51" s="33"/>
      <c r="I51" s="33"/>
      <c r="J51" s="33"/>
      <c r="K51" s="33"/>
      <c r="L51" s="33"/>
      <c r="M51" s="33"/>
      <c r="N51" s="33"/>
    </row>
    <row r="52" spans="2:14">
      <c r="B52" s="28" t="s">
        <v>304</v>
      </c>
      <c r="C52" s="33"/>
      <c r="D52" s="46">
        <v>42432</v>
      </c>
      <c r="E52" s="33"/>
      <c r="F52" s="33"/>
      <c r="G52" s="33"/>
      <c r="H52" s="33"/>
      <c r="I52" s="33"/>
      <c r="J52" s="33"/>
      <c r="K52" s="33"/>
      <c r="L52" s="33"/>
      <c r="M52" s="33"/>
      <c r="N52" s="33"/>
    </row>
    <row r="53" spans="2:14" ht="27.75" customHeight="1">
      <c r="B53" s="170" t="s">
        <v>332</v>
      </c>
      <c r="C53" s="170"/>
      <c r="D53" s="170"/>
      <c r="E53" s="170"/>
      <c r="F53" s="170"/>
      <c r="G53" s="170"/>
      <c r="H53" s="170"/>
      <c r="I53" s="170"/>
      <c r="J53" s="170"/>
      <c r="K53" s="170"/>
      <c r="L53" s="170"/>
      <c r="M53" s="170"/>
      <c r="N53" s="33"/>
    </row>
    <row r="54" spans="2:14" ht="27.75" customHeight="1">
      <c r="B54" s="171" t="s">
        <v>333</v>
      </c>
      <c r="C54" s="171"/>
      <c r="D54" s="171"/>
      <c r="E54" s="171"/>
      <c r="F54" s="171"/>
      <c r="G54" s="171"/>
      <c r="H54" s="171"/>
      <c r="I54" s="171"/>
      <c r="J54" s="171"/>
      <c r="K54" s="171"/>
      <c r="L54" s="171"/>
      <c r="M54" s="171"/>
      <c r="N54" s="33"/>
    </row>
    <row r="55" spans="2:14" ht="39" customHeight="1">
      <c r="B55" s="170" t="s">
        <v>550</v>
      </c>
      <c r="C55" s="170"/>
      <c r="D55" s="170"/>
      <c r="E55" s="170"/>
      <c r="F55" s="170"/>
      <c r="G55" s="170"/>
      <c r="H55" s="170"/>
      <c r="I55" s="170"/>
      <c r="J55" s="170"/>
      <c r="K55" s="170"/>
      <c r="L55" s="170"/>
      <c r="M55" s="170"/>
      <c r="N55" s="170"/>
    </row>
    <row r="56" spans="2:14">
      <c r="B56" s="33"/>
      <c r="C56" s="33"/>
      <c r="D56" s="33"/>
      <c r="E56" s="33"/>
      <c r="F56" s="33"/>
      <c r="G56" s="33"/>
      <c r="H56" s="33"/>
      <c r="I56" s="33"/>
      <c r="J56" s="33"/>
      <c r="K56" s="33"/>
      <c r="L56" s="33"/>
      <c r="M56" s="33"/>
      <c r="N56" s="33"/>
    </row>
    <row r="57" spans="2:14">
      <c r="B57" s="28" t="s">
        <v>304</v>
      </c>
      <c r="C57" s="33"/>
      <c r="D57" s="46">
        <v>42475</v>
      </c>
      <c r="E57" s="33"/>
      <c r="F57" s="33"/>
      <c r="G57" s="33"/>
      <c r="H57" s="33"/>
      <c r="I57" s="33"/>
      <c r="J57" s="33"/>
      <c r="K57" s="33"/>
      <c r="L57" s="33"/>
      <c r="M57" s="33"/>
      <c r="N57" s="33"/>
    </row>
    <row r="58" spans="2:14" ht="27.75" customHeight="1">
      <c r="B58" s="170" t="s">
        <v>332</v>
      </c>
      <c r="C58" s="170"/>
      <c r="D58" s="170"/>
      <c r="E58" s="170"/>
      <c r="F58" s="170"/>
      <c r="G58" s="170"/>
      <c r="H58" s="170"/>
      <c r="I58" s="170"/>
      <c r="J58" s="170"/>
      <c r="K58" s="170"/>
      <c r="L58" s="170"/>
      <c r="M58" s="170"/>
      <c r="N58" s="33"/>
    </row>
    <row r="59" spans="2:14" ht="27.75" customHeight="1">
      <c r="B59" s="171" t="s">
        <v>333</v>
      </c>
      <c r="C59" s="171"/>
      <c r="D59" s="171"/>
      <c r="E59" s="171"/>
      <c r="F59" s="171"/>
      <c r="G59" s="171"/>
      <c r="H59" s="171"/>
      <c r="I59" s="171"/>
      <c r="J59" s="171"/>
      <c r="K59" s="171"/>
      <c r="L59" s="171"/>
      <c r="M59" s="171"/>
      <c r="N59" s="33"/>
    </row>
    <row r="60" spans="2:14" ht="27.75" customHeight="1">
      <c r="B60" s="169" t="s">
        <v>334</v>
      </c>
      <c r="C60" s="169"/>
      <c r="D60" s="169"/>
      <c r="E60" s="169"/>
      <c r="F60" s="169"/>
      <c r="G60" s="169"/>
      <c r="H60" s="169"/>
      <c r="I60" s="169"/>
      <c r="J60" s="169"/>
      <c r="K60" s="169"/>
      <c r="L60" s="169"/>
      <c r="M60" s="169"/>
      <c r="N60" s="33"/>
    </row>
    <row r="61" spans="2:14" ht="39" customHeight="1">
      <c r="B61" s="170" t="s">
        <v>551</v>
      </c>
      <c r="C61" s="170"/>
      <c r="D61" s="170"/>
      <c r="E61" s="170"/>
      <c r="F61" s="170"/>
      <c r="G61" s="170"/>
      <c r="H61" s="170"/>
      <c r="I61" s="170"/>
      <c r="J61" s="170"/>
      <c r="K61" s="170"/>
      <c r="L61" s="170"/>
      <c r="M61" s="170"/>
      <c r="N61" s="170"/>
    </row>
    <row r="63" spans="2:14">
      <c r="B63" s="28" t="s">
        <v>304</v>
      </c>
      <c r="C63" s="33"/>
      <c r="D63" s="46">
        <v>42593</v>
      </c>
    </row>
    <row r="64" spans="2:14" ht="17.25" customHeight="1">
      <c r="B64" s="171" t="s">
        <v>335</v>
      </c>
      <c r="C64" s="171"/>
      <c r="D64" s="171"/>
      <c r="E64" s="171"/>
      <c r="F64" s="171"/>
      <c r="G64" s="171"/>
      <c r="H64" s="171"/>
      <c r="I64" s="171"/>
      <c r="J64" s="171"/>
      <c r="K64" s="171"/>
      <c r="L64" s="171"/>
      <c r="M64" s="171"/>
    </row>
    <row r="65" spans="2:13" ht="19.5" customHeight="1">
      <c r="B65" s="169" t="s">
        <v>336</v>
      </c>
      <c r="C65" s="169"/>
      <c r="D65" s="169"/>
      <c r="E65" s="169"/>
      <c r="F65" s="169"/>
      <c r="G65" s="169"/>
      <c r="H65" s="169"/>
      <c r="I65" s="169"/>
      <c r="J65" s="169"/>
      <c r="K65" s="169"/>
      <c r="L65" s="169"/>
      <c r="M65" s="169"/>
    </row>
    <row r="66" spans="2:13" ht="24.75" customHeight="1">
      <c r="B66" s="162" t="s">
        <v>337</v>
      </c>
      <c r="C66" s="162"/>
      <c r="D66" s="162"/>
      <c r="E66" s="162"/>
      <c r="F66" s="162"/>
      <c r="G66" s="162"/>
      <c r="H66" s="162"/>
      <c r="I66" s="162"/>
      <c r="J66" s="162"/>
      <c r="K66" s="162"/>
      <c r="L66" s="162"/>
      <c r="M66" s="162"/>
    </row>
    <row r="67" spans="2:13" ht="17.25" customHeight="1">
      <c r="B67" s="170" t="s">
        <v>338</v>
      </c>
      <c r="C67" s="170"/>
      <c r="D67" s="170"/>
      <c r="E67" s="170"/>
      <c r="F67" s="170"/>
      <c r="G67" s="170"/>
      <c r="H67" s="170"/>
      <c r="I67" s="170"/>
      <c r="J67" s="170"/>
      <c r="K67" s="170"/>
      <c r="L67" s="170"/>
      <c r="M67" s="170"/>
    </row>
    <row r="68" spans="2:13" ht="27.75" customHeight="1">
      <c r="B68" s="170" t="s">
        <v>339</v>
      </c>
      <c r="C68" s="170"/>
      <c r="D68" s="170"/>
      <c r="E68" s="170"/>
      <c r="F68" s="170"/>
      <c r="G68" s="170"/>
      <c r="H68" s="170"/>
      <c r="I68" s="170"/>
      <c r="J68" s="170"/>
      <c r="K68" s="49"/>
      <c r="L68" s="50"/>
      <c r="M68" s="50"/>
    </row>
    <row r="69" spans="2:13" ht="25.5" customHeight="1">
      <c r="B69" s="169" t="s">
        <v>340</v>
      </c>
      <c r="C69" s="169"/>
      <c r="D69" s="169"/>
      <c r="E69" s="169"/>
      <c r="F69" s="169"/>
      <c r="G69" s="169"/>
      <c r="H69" s="169"/>
      <c r="I69" s="169"/>
      <c r="J69" s="169"/>
      <c r="K69" s="169"/>
      <c r="L69" s="169"/>
      <c r="M69" s="169"/>
    </row>
    <row r="70" spans="2:13" ht="27" customHeight="1">
      <c r="B70" s="171" t="s">
        <v>341</v>
      </c>
      <c r="C70" s="171"/>
      <c r="D70" s="171"/>
      <c r="E70" s="171"/>
      <c r="F70" s="171"/>
      <c r="G70" s="171"/>
      <c r="H70" s="171"/>
      <c r="I70" s="171"/>
      <c r="J70" s="171"/>
      <c r="K70" s="171"/>
      <c r="L70" s="171"/>
      <c r="M70" s="171"/>
    </row>
    <row r="72" spans="2:13">
      <c r="B72" s="28" t="s">
        <v>304</v>
      </c>
      <c r="C72" s="33"/>
      <c r="D72" s="46">
        <v>42692</v>
      </c>
    </row>
    <row r="73" spans="2:13" ht="27.75" customHeight="1">
      <c r="B73" s="165" t="s">
        <v>342</v>
      </c>
      <c r="C73" s="165"/>
      <c r="D73" s="165"/>
      <c r="E73" s="165"/>
      <c r="F73" s="165"/>
      <c r="G73" s="165"/>
      <c r="H73" s="165"/>
      <c r="I73" s="165"/>
      <c r="J73" s="165"/>
      <c r="K73" s="165"/>
      <c r="L73" s="165"/>
      <c r="M73" s="165"/>
    </row>
    <row r="74" spans="2:13" ht="26.25" customHeight="1">
      <c r="B74" s="164" t="s">
        <v>343</v>
      </c>
      <c r="C74" s="164"/>
      <c r="D74" s="164"/>
      <c r="E74" s="164"/>
      <c r="F74" s="164"/>
      <c r="G74" s="164"/>
      <c r="H74" s="164"/>
      <c r="I74" s="164"/>
      <c r="J74" s="164"/>
      <c r="K74" s="164"/>
      <c r="L74" s="51"/>
      <c r="M74" s="51"/>
    </row>
    <row r="76" spans="2:13">
      <c r="B76" s="28" t="s">
        <v>304</v>
      </c>
      <c r="C76" s="33"/>
      <c r="D76" s="46">
        <v>42793</v>
      </c>
    </row>
    <row r="77" spans="2:13" ht="39.6" customHeight="1">
      <c r="B77" s="167" t="s">
        <v>344</v>
      </c>
      <c r="C77" s="167"/>
      <c r="D77" s="167"/>
      <c r="E77" s="167"/>
      <c r="F77" s="167"/>
      <c r="G77" s="167"/>
      <c r="H77" s="167"/>
      <c r="I77" s="167"/>
      <c r="J77" s="167"/>
      <c r="K77" s="167"/>
      <c r="L77" s="167"/>
      <c r="M77" s="167"/>
    </row>
    <row r="79" spans="2:13">
      <c r="B79" s="28" t="s">
        <v>304</v>
      </c>
      <c r="C79" s="33"/>
      <c r="D79" s="46">
        <v>42891</v>
      </c>
    </row>
    <row r="80" spans="2:13" ht="26.25" customHeight="1">
      <c r="B80" s="167" t="s">
        <v>345</v>
      </c>
      <c r="C80" s="167"/>
      <c r="D80" s="167"/>
      <c r="E80" s="167"/>
      <c r="F80" s="167"/>
      <c r="G80" s="167"/>
      <c r="H80" s="167"/>
      <c r="I80" s="167"/>
      <c r="J80" s="167"/>
      <c r="K80" s="167"/>
      <c r="L80" s="167"/>
      <c r="M80" s="167"/>
    </row>
    <row r="81" spans="2:15" ht="19.149999999999999" customHeight="1">
      <c r="B81" s="167" t="s">
        <v>346</v>
      </c>
      <c r="C81" s="167"/>
      <c r="D81" s="167"/>
      <c r="E81" s="167"/>
      <c r="F81" s="167"/>
      <c r="G81" s="167"/>
      <c r="H81" s="167"/>
      <c r="I81" s="167"/>
      <c r="J81" s="167"/>
      <c r="K81" s="167"/>
      <c r="L81" s="167"/>
      <c r="M81" s="167"/>
    </row>
    <row r="82" spans="2:15" ht="30.6" customHeight="1">
      <c r="B82" s="167" t="s">
        <v>347</v>
      </c>
      <c r="C82" s="167"/>
      <c r="D82" s="167"/>
      <c r="E82" s="167"/>
      <c r="F82" s="167"/>
      <c r="G82" s="167"/>
      <c r="H82" s="167"/>
      <c r="I82" s="167"/>
      <c r="J82" s="167"/>
      <c r="K82" s="167"/>
      <c r="L82" s="167"/>
      <c r="M82" s="167"/>
    </row>
    <row r="83" spans="2:15">
      <c r="B83" s="167"/>
      <c r="C83" s="167"/>
      <c r="D83" s="167"/>
      <c r="E83" s="167"/>
      <c r="F83" s="167"/>
      <c r="G83" s="167"/>
      <c r="H83" s="167"/>
      <c r="I83" s="167"/>
      <c r="J83" s="167"/>
      <c r="K83" s="167"/>
      <c r="L83" s="167"/>
      <c r="M83" s="167"/>
    </row>
    <row r="84" spans="2:15">
      <c r="B84" s="28" t="s">
        <v>304</v>
      </c>
      <c r="C84" s="33"/>
      <c r="D84" s="46">
        <v>43091</v>
      </c>
      <c r="E84" s="27"/>
      <c r="F84" s="27"/>
      <c r="G84" s="27"/>
      <c r="H84" s="27"/>
      <c r="I84" s="27"/>
      <c r="J84" s="27"/>
      <c r="K84" s="27"/>
      <c r="L84" s="27"/>
      <c r="M84" s="27"/>
    </row>
    <row r="85" spans="2:15" ht="19.5" customHeight="1">
      <c r="B85" s="168" t="s">
        <v>348</v>
      </c>
      <c r="C85" s="168"/>
      <c r="D85" s="168"/>
      <c r="E85" s="168"/>
      <c r="F85" s="168"/>
      <c r="G85" s="168"/>
      <c r="H85" s="168"/>
      <c r="I85" s="168"/>
      <c r="J85" s="168"/>
      <c r="K85" s="168"/>
      <c r="L85" s="168"/>
      <c r="M85" s="168"/>
      <c r="N85" s="30"/>
    </row>
    <row r="86" spans="2:15" ht="15" customHeight="1">
      <c r="B86" s="162" t="s">
        <v>349</v>
      </c>
      <c r="C86" s="162"/>
      <c r="D86" s="162"/>
      <c r="E86" s="162"/>
      <c r="F86" s="162"/>
      <c r="G86" s="162"/>
      <c r="H86" s="162"/>
      <c r="I86" s="162"/>
      <c r="J86" s="162"/>
      <c r="K86" s="162"/>
      <c r="L86" s="162"/>
      <c r="M86" s="162"/>
      <c r="N86" s="30"/>
    </row>
    <row r="87" spans="2:15" ht="15" customHeight="1">
      <c r="B87" s="169" t="s">
        <v>350</v>
      </c>
      <c r="C87" s="169"/>
      <c r="D87" s="169"/>
      <c r="E87" s="169"/>
      <c r="F87" s="169"/>
      <c r="G87" s="169"/>
      <c r="H87" s="169"/>
      <c r="I87" s="169"/>
      <c r="J87" s="169"/>
      <c r="K87" s="169"/>
      <c r="L87" s="169"/>
      <c r="M87" s="169"/>
      <c r="N87" s="169"/>
      <c r="O87" s="169"/>
    </row>
    <row r="88" spans="2:15">
      <c r="B88" s="169" t="s">
        <v>351</v>
      </c>
      <c r="C88" s="169"/>
      <c r="D88" s="169"/>
      <c r="E88" s="169"/>
      <c r="F88" s="169"/>
      <c r="G88" s="169"/>
      <c r="H88" s="169"/>
      <c r="I88" s="169"/>
      <c r="J88" s="169"/>
      <c r="K88" s="169"/>
      <c r="L88" s="169"/>
      <c r="M88" s="169"/>
      <c r="N88" s="169"/>
      <c r="O88" s="169"/>
    </row>
    <row r="89" spans="2:15">
      <c r="B89" s="169" t="s">
        <v>352</v>
      </c>
      <c r="C89" s="169"/>
      <c r="D89" s="169"/>
      <c r="E89" s="169"/>
      <c r="F89" s="169"/>
      <c r="G89" s="169"/>
      <c r="H89" s="169"/>
      <c r="I89" s="169"/>
      <c r="J89" s="169"/>
      <c r="K89" s="169"/>
      <c r="L89" s="169"/>
      <c r="M89" s="169"/>
      <c r="N89" s="169"/>
      <c r="O89" s="169"/>
    </row>
    <row r="91" spans="2:15" s="71" customFormat="1">
      <c r="B91" s="28" t="s">
        <v>304</v>
      </c>
      <c r="D91" s="46">
        <v>43175</v>
      </c>
    </row>
    <row r="92" spans="2:15" s="71" customFormat="1" ht="27" customHeight="1">
      <c r="B92" s="168" t="s">
        <v>459</v>
      </c>
      <c r="C92" s="168"/>
      <c r="D92" s="168"/>
      <c r="E92" s="168"/>
      <c r="F92" s="168"/>
      <c r="G92" s="168"/>
      <c r="H92" s="168"/>
      <c r="I92" s="168"/>
      <c r="J92" s="168"/>
      <c r="K92" s="168"/>
      <c r="L92" s="168"/>
      <c r="M92" s="168"/>
    </row>
    <row r="93" spans="2:15" s="71" customFormat="1" ht="24.75" customHeight="1">
      <c r="B93" s="168" t="s">
        <v>288</v>
      </c>
      <c r="C93" s="168"/>
      <c r="D93" s="168"/>
      <c r="E93" s="168"/>
      <c r="F93" s="168"/>
      <c r="G93" s="168"/>
      <c r="H93" s="168"/>
      <c r="I93" s="168"/>
      <c r="J93" s="168"/>
      <c r="K93" s="168"/>
      <c r="L93" s="168"/>
      <c r="M93" s="168"/>
    </row>
    <row r="94" spans="2:15" s="71" customFormat="1" ht="39" customHeight="1">
      <c r="B94" s="168" t="s">
        <v>289</v>
      </c>
      <c r="C94" s="168"/>
      <c r="D94" s="168"/>
      <c r="E94" s="168"/>
      <c r="F94" s="168"/>
      <c r="G94" s="168"/>
      <c r="H94" s="168"/>
      <c r="I94" s="168"/>
      <c r="J94" s="168"/>
      <c r="K94" s="168"/>
      <c r="L94" s="168"/>
      <c r="M94" s="168"/>
    </row>
    <row r="95" spans="2:15" s="71" customFormat="1"/>
    <row r="96" spans="2:15">
      <c r="B96" s="28" t="s">
        <v>304</v>
      </c>
      <c r="D96" s="46">
        <v>43312</v>
      </c>
    </row>
    <row r="97" spans="2:13">
      <c r="B97" s="166" t="s">
        <v>381</v>
      </c>
      <c r="C97" s="166"/>
      <c r="D97" s="166"/>
      <c r="E97" s="166"/>
      <c r="F97" s="166"/>
      <c r="G97" s="166"/>
      <c r="H97" s="166"/>
      <c r="I97" s="166"/>
      <c r="J97" s="166"/>
      <c r="K97" s="166"/>
      <c r="L97" s="52"/>
      <c r="M97" s="52"/>
    </row>
    <row r="98" spans="2:13" s="119" customFormat="1">
      <c r="B98" s="120"/>
      <c r="C98" s="120"/>
      <c r="D98" s="120"/>
      <c r="E98" s="120"/>
      <c r="F98" s="120"/>
      <c r="G98" s="120"/>
      <c r="H98" s="120"/>
      <c r="I98" s="120"/>
      <c r="J98" s="120"/>
      <c r="K98" s="120"/>
      <c r="L98" s="121"/>
      <c r="M98" s="121"/>
    </row>
    <row r="99" spans="2:13" s="119" customFormat="1">
      <c r="B99" s="28" t="s">
        <v>304</v>
      </c>
      <c r="D99" s="46">
        <v>43404</v>
      </c>
    </row>
    <row r="100" spans="2:13" s="119" customFormat="1" ht="15" customHeight="1">
      <c r="B100" s="173" t="s">
        <v>553</v>
      </c>
      <c r="C100" s="166"/>
      <c r="D100" s="166"/>
      <c r="E100" s="166"/>
      <c r="F100" s="166"/>
      <c r="G100" s="166"/>
      <c r="H100" s="166"/>
      <c r="I100" s="166"/>
      <c r="J100" s="166"/>
      <c r="K100" s="166"/>
      <c r="L100" s="121"/>
      <c r="M100" s="121"/>
    </row>
    <row r="101" spans="2:13" s="123" customFormat="1" ht="15" customHeight="1">
      <c r="B101" s="124"/>
      <c r="C101" s="125"/>
      <c r="D101" s="125"/>
      <c r="E101" s="125"/>
      <c r="F101" s="125"/>
      <c r="G101" s="125"/>
      <c r="H101" s="125"/>
      <c r="I101" s="125"/>
      <c r="J101" s="125"/>
      <c r="K101" s="125"/>
      <c r="L101" s="126"/>
      <c r="M101" s="126"/>
    </row>
    <row r="102" spans="2:13" s="123" customFormat="1" ht="15" customHeight="1">
      <c r="B102" s="28" t="s">
        <v>304</v>
      </c>
      <c r="D102" s="46">
        <v>43486</v>
      </c>
      <c r="E102" s="125"/>
      <c r="F102" s="125"/>
      <c r="G102" s="125"/>
      <c r="H102" s="125"/>
      <c r="I102" s="125"/>
      <c r="J102" s="125"/>
      <c r="K102" s="125"/>
      <c r="L102" s="126"/>
      <c r="M102" s="126"/>
    </row>
    <row r="103" spans="2:13">
      <c r="B103" s="172" t="s">
        <v>577</v>
      </c>
      <c r="C103" s="172"/>
      <c r="D103" s="172"/>
      <c r="E103" s="172"/>
      <c r="F103" s="172"/>
      <c r="G103" s="172"/>
      <c r="H103" s="172"/>
      <c r="I103" s="172"/>
      <c r="J103" s="172"/>
      <c r="K103" s="172"/>
      <c r="L103" s="172"/>
      <c r="M103" s="172"/>
    </row>
    <row r="104" spans="2:13" s="123" customFormat="1">
      <c r="B104" s="144" t="s">
        <v>580</v>
      </c>
    </row>
    <row r="105" spans="2:13" s="145" customFormat="1">
      <c r="B105" s="133" t="s">
        <v>583</v>
      </c>
    </row>
    <row r="106" spans="2:13" s="145" customFormat="1">
      <c r="B106" s="133" t="s">
        <v>582</v>
      </c>
    </row>
    <row r="107" spans="2:13" s="147" customFormat="1" ht="15.75">
      <c r="B107" s="148" t="s">
        <v>584</v>
      </c>
    </row>
    <row r="108" spans="2:13" s="147" customFormat="1" ht="15.75">
      <c r="B108" s="148" t="s">
        <v>600</v>
      </c>
    </row>
    <row r="109" spans="2:13" s="147" customFormat="1" ht="15.75">
      <c r="B109" s="148" t="s">
        <v>605</v>
      </c>
    </row>
    <row r="110" spans="2:13" s="147" customFormat="1" ht="15.75">
      <c r="B110" s="148"/>
    </row>
    <row r="111" spans="2:13" s="147" customFormat="1" ht="15.75">
      <c r="B111" s="154" t="s">
        <v>613</v>
      </c>
    </row>
    <row r="112" spans="2:13" s="147" customFormat="1" ht="15.75">
      <c r="B112" s="154" t="s">
        <v>614</v>
      </c>
    </row>
    <row r="113" spans="2:2" s="147" customFormat="1" ht="15.75">
      <c r="B113" s="154"/>
    </row>
    <row r="114" spans="2:2">
      <c r="B114" s="122" t="s">
        <v>552</v>
      </c>
    </row>
  </sheetData>
  <mergeCells count="48">
    <mergeCell ref="B103:M103"/>
    <mergeCell ref="B100:K100"/>
    <mergeCell ref="B45:M45"/>
    <mergeCell ref="B18:M18"/>
    <mergeCell ref="B19:M19"/>
    <mergeCell ref="B22:M22"/>
    <mergeCell ref="B25:M25"/>
    <mergeCell ref="B32:M32"/>
    <mergeCell ref="B33:M33"/>
    <mergeCell ref="B36:M36"/>
    <mergeCell ref="B37:M37"/>
    <mergeCell ref="B38:P38"/>
    <mergeCell ref="B41:M41"/>
    <mergeCell ref="B42:M42"/>
    <mergeCell ref="B64:M64"/>
    <mergeCell ref="B46:M46"/>
    <mergeCell ref="B47:M47"/>
    <mergeCell ref="B48:M48"/>
    <mergeCell ref="B49:M49"/>
    <mergeCell ref="B53:M53"/>
    <mergeCell ref="B54:M54"/>
    <mergeCell ref="B55:N55"/>
    <mergeCell ref="B58:M58"/>
    <mergeCell ref="B59:M59"/>
    <mergeCell ref="B60:M60"/>
    <mergeCell ref="B61:N61"/>
    <mergeCell ref="B82:M82"/>
    <mergeCell ref="B65:M65"/>
    <mergeCell ref="B66:M66"/>
    <mergeCell ref="B67:M67"/>
    <mergeCell ref="B68:J68"/>
    <mergeCell ref="B69:M69"/>
    <mergeCell ref="B70:M70"/>
    <mergeCell ref="B73:M73"/>
    <mergeCell ref="B74:K74"/>
    <mergeCell ref="B77:M77"/>
    <mergeCell ref="B80:M80"/>
    <mergeCell ref="B81:M81"/>
    <mergeCell ref="B97:K97"/>
    <mergeCell ref="B83:M83"/>
    <mergeCell ref="B85:M85"/>
    <mergeCell ref="B86:M86"/>
    <mergeCell ref="B87:O87"/>
    <mergeCell ref="B88:O88"/>
    <mergeCell ref="B89:O89"/>
    <mergeCell ref="B93:M93"/>
    <mergeCell ref="B92:M92"/>
    <mergeCell ref="B94:M94"/>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9"/>
  <sheetViews>
    <sheetView workbookViewId="0"/>
  </sheetViews>
  <sheetFormatPr defaultColWidth="9.140625" defaultRowHeight="15"/>
  <cols>
    <col min="1" max="1" width="24" style="27" bestFit="1" customWidth="1"/>
    <col min="2" max="2" width="27.85546875" style="27" bestFit="1" customWidth="1"/>
    <col min="3" max="3" width="30.42578125" style="27" bestFit="1" customWidth="1"/>
    <col min="4" max="4" width="16.42578125" style="27" bestFit="1" customWidth="1"/>
    <col min="5" max="5" width="25.28515625" style="27" bestFit="1" customWidth="1"/>
    <col min="6" max="6" width="14.85546875" style="27" bestFit="1" customWidth="1"/>
    <col min="7" max="7" width="7.7109375" style="27" bestFit="1" customWidth="1"/>
    <col min="8" max="8" width="17.5703125" style="27" bestFit="1" customWidth="1"/>
    <col min="9" max="9" width="7.28515625" style="87" bestFit="1" customWidth="1"/>
    <col min="10" max="10" width="11" style="27" hidden="1" customWidth="1"/>
    <col min="11" max="11" width="26.85546875" style="27" hidden="1" customWidth="1"/>
    <col min="12" max="12" width="19.5703125" style="87" hidden="1" customWidth="1"/>
    <col min="13" max="13" width="19.5703125" style="87" customWidth="1"/>
    <col min="14" max="14" width="19.5703125" style="27" customWidth="1"/>
    <col min="15" max="16384" width="9.140625" style="27"/>
  </cols>
  <sheetData>
    <row r="1" spans="1:13" ht="20.25" thickBot="1">
      <c r="A1" s="63" t="s">
        <v>0</v>
      </c>
    </row>
    <row r="2" spans="1:13" ht="23.25" thickBot="1">
      <c r="A2" s="62" t="s">
        <v>1</v>
      </c>
      <c r="B2" s="62" t="s">
        <v>2</v>
      </c>
      <c r="C2" s="62" t="s">
        <v>535</v>
      </c>
      <c r="D2" s="62" t="s">
        <v>109</v>
      </c>
      <c r="E2" s="62" t="s">
        <v>3</v>
      </c>
      <c r="F2" s="62" t="s">
        <v>4</v>
      </c>
      <c r="G2" s="62" t="s">
        <v>5</v>
      </c>
      <c r="H2" s="62" t="s">
        <v>6</v>
      </c>
      <c r="I2" s="62" t="s">
        <v>585</v>
      </c>
      <c r="J2" s="2" t="s">
        <v>7</v>
      </c>
      <c r="K2" s="2" t="s">
        <v>168</v>
      </c>
      <c r="L2" s="2" t="s">
        <v>172</v>
      </c>
      <c r="M2" s="27"/>
    </row>
    <row r="3" spans="1:13" ht="23.25" thickBot="1">
      <c r="A3" s="15" t="s">
        <v>8</v>
      </c>
      <c r="B3" s="13" t="s">
        <v>9</v>
      </c>
      <c r="C3" s="17" t="s">
        <v>10</v>
      </c>
      <c r="D3" s="13">
        <v>50</v>
      </c>
      <c r="E3" s="17" t="s">
        <v>11</v>
      </c>
      <c r="F3" s="13" t="s">
        <v>12</v>
      </c>
      <c r="G3" s="17" t="s">
        <v>13</v>
      </c>
      <c r="H3" s="13" t="s">
        <v>14</v>
      </c>
      <c r="I3" s="13" t="s">
        <v>150</v>
      </c>
      <c r="J3" s="17" t="s">
        <v>15</v>
      </c>
      <c r="K3" s="13" t="s">
        <v>163</v>
      </c>
      <c r="L3" s="17" t="s">
        <v>161</v>
      </c>
      <c r="M3" s="27"/>
    </row>
    <row r="4" spans="1:13" ht="15.75" thickBot="1">
      <c r="A4" s="14" t="s">
        <v>204</v>
      </c>
      <c r="B4" s="12" t="s">
        <v>205</v>
      </c>
      <c r="C4" s="17" t="s">
        <v>468</v>
      </c>
      <c r="D4" s="13">
        <v>110</v>
      </c>
      <c r="E4" s="16" t="s">
        <v>29</v>
      </c>
      <c r="F4" s="12" t="s">
        <v>28</v>
      </c>
      <c r="G4" s="16" t="s">
        <v>18</v>
      </c>
      <c r="H4" s="12" t="s">
        <v>14</v>
      </c>
      <c r="I4" s="13" t="s">
        <v>150</v>
      </c>
      <c r="J4" s="16" t="s">
        <v>15</v>
      </c>
      <c r="K4" s="12" t="s">
        <v>163</v>
      </c>
      <c r="L4" s="16" t="s">
        <v>28</v>
      </c>
      <c r="M4" s="27"/>
    </row>
    <row r="5" spans="1:13" ht="15.75" thickBot="1">
      <c r="A5" s="14" t="s">
        <v>536</v>
      </c>
      <c r="B5" s="12" t="s">
        <v>30</v>
      </c>
      <c r="C5" s="17" t="s">
        <v>31</v>
      </c>
      <c r="D5" s="13">
        <v>56.7</v>
      </c>
      <c r="E5" s="16" t="s">
        <v>16</v>
      </c>
      <c r="F5" s="12" t="s">
        <v>17</v>
      </c>
      <c r="G5" s="16" t="s">
        <v>18</v>
      </c>
      <c r="H5" s="12" t="s">
        <v>14</v>
      </c>
      <c r="I5" s="13" t="s">
        <v>150</v>
      </c>
      <c r="J5" s="16" t="s">
        <v>15</v>
      </c>
      <c r="K5" s="12" t="s">
        <v>163</v>
      </c>
      <c r="L5" s="16" t="s">
        <v>17</v>
      </c>
      <c r="M5" s="27"/>
    </row>
    <row r="6" spans="1:13" ht="15.75" thickBot="1">
      <c r="A6" s="14" t="s">
        <v>34</v>
      </c>
      <c r="B6" s="12" t="s">
        <v>35</v>
      </c>
      <c r="C6" s="17" t="s">
        <v>36</v>
      </c>
      <c r="D6" s="13">
        <v>156</v>
      </c>
      <c r="E6" s="16" t="s">
        <v>19</v>
      </c>
      <c r="F6" s="12" t="s">
        <v>20</v>
      </c>
      <c r="G6" s="16" t="s">
        <v>13</v>
      </c>
      <c r="H6" s="12" t="s">
        <v>14</v>
      </c>
      <c r="I6" s="13" t="s">
        <v>150</v>
      </c>
      <c r="J6" s="16" t="s">
        <v>15</v>
      </c>
      <c r="K6" s="12" t="s">
        <v>163</v>
      </c>
      <c r="L6" s="16" t="s">
        <v>19</v>
      </c>
      <c r="M6" s="27"/>
    </row>
    <row r="7" spans="1:13" ht="15.75" thickBot="1">
      <c r="A7" s="14" t="s">
        <v>209</v>
      </c>
      <c r="B7" s="12" t="s">
        <v>210</v>
      </c>
      <c r="C7" s="17" t="s">
        <v>554</v>
      </c>
      <c r="D7" s="13">
        <v>30</v>
      </c>
      <c r="E7" s="16" t="s">
        <v>440</v>
      </c>
      <c r="F7" s="12" t="s">
        <v>570</v>
      </c>
      <c r="G7" s="16" t="s">
        <v>13</v>
      </c>
      <c r="H7" s="12" t="s">
        <v>14</v>
      </c>
      <c r="I7" s="13" t="s">
        <v>150</v>
      </c>
      <c r="J7" s="16" t="s">
        <v>15</v>
      </c>
      <c r="K7" s="12" t="s">
        <v>163</v>
      </c>
      <c r="L7" s="16" t="s">
        <v>440</v>
      </c>
      <c r="M7" s="27"/>
    </row>
    <row r="8" spans="1:13" ht="15.75" thickBot="1">
      <c r="A8" s="14" t="s">
        <v>37</v>
      </c>
      <c r="B8" s="12" t="s">
        <v>38</v>
      </c>
      <c r="C8" s="17" t="s">
        <v>39</v>
      </c>
      <c r="D8" s="13">
        <v>132.30000000000001</v>
      </c>
      <c r="E8" s="16" t="s">
        <v>16</v>
      </c>
      <c r="F8" s="12" t="s">
        <v>17</v>
      </c>
      <c r="G8" s="16" t="s">
        <v>18</v>
      </c>
      <c r="H8" s="12" t="s">
        <v>14</v>
      </c>
      <c r="I8" s="13" t="s">
        <v>150</v>
      </c>
      <c r="J8" s="16" t="s">
        <v>15</v>
      </c>
      <c r="K8" s="12" t="s">
        <v>163</v>
      </c>
      <c r="L8" s="16" t="s">
        <v>17</v>
      </c>
      <c r="M8" s="27"/>
    </row>
    <row r="9" spans="1:13" ht="15.75" thickBot="1">
      <c r="A9" s="14" t="s">
        <v>40</v>
      </c>
      <c r="B9" s="12" t="s">
        <v>41</v>
      </c>
      <c r="C9" s="17" t="s">
        <v>42</v>
      </c>
      <c r="D9" s="13">
        <v>52.5</v>
      </c>
      <c r="E9" s="16" t="s">
        <v>16</v>
      </c>
      <c r="F9" s="12" t="s">
        <v>17</v>
      </c>
      <c r="G9" s="16" t="s">
        <v>18</v>
      </c>
      <c r="H9" s="12" t="s">
        <v>14</v>
      </c>
      <c r="I9" s="13" t="s">
        <v>150</v>
      </c>
      <c r="J9" s="16" t="s">
        <v>15</v>
      </c>
      <c r="K9" s="12" t="s">
        <v>163</v>
      </c>
      <c r="L9" s="16" t="s">
        <v>17</v>
      </c>
      <c r="M9" s="27"/>
    </row>
    <row r="10" spans="1:13" ht="79.5" thickBot="1">
      <c r="A10" s="14" t="s">
        <v>43</v>
      </c>
      <c r="B10" s="12" t="s">
        <v>44</v>
      </c>
      <c r="C10" s="17" t="s">
        <v>45</v>
      </c>
      <c r="D10" s="13">
        <v>234.34</v>
      </c>
      <c r="E10" s="16" t="s">
        <v>19</v>
      </c>
      <c r="F10" s="12" t="s">
        <v>20</v>
      </c>
      <c r="G10" s="16" t="s">
        <v>13</v>
      </c>
      <c r="H10" s="12" t="s">
        <v>14</v>
      </c>
      <c r="I10" s="13" t="s">
        <v>150</v>
      </c>
      <c r="J10" s="16" t="s">
        <v>15</v>
      </c>
      <c r="K10" s="12" t="s">
        <v>163</v>
      </c>
      <c r="L10" s="16" t="s">
        <v>19</v>
      </c>
      <c r="M10" s="27"/>
    </row>
    <row r="11" spans="1:13" ht="15.75" thickBot="1">
      <c r="A11" s="14" t="s">
        <v>46</v>
      </c>
      <c r="B11" s="12" t="s">
        <v>47</v>
      </c>
      <c r="C11" s="17" t="s">
        <v>48</v>
      </c>
      <c r="D11" s="13">
        <v>94.5</v>
      </c>
      <c r="E11" s="16" t="s">
        <v>16</v>
      </c>
      <c r="F11" s="12" t="s">
        <v>17</v>
      </c>
      <c r="G11" s="16" t="s">
        <v>18</v>
      </c>
      <c r="H11" s="12" t="s">
        <v>14</v>
      </c>
      <c r="I11" s="13" t="s">
        <v>150</v>
      </c>
      <c r="J11" s="16" t="s">
        <v>15</v>
      </c>
      <c r="K11" s="12" t="s">
        <v>163</v>
      </c>
      <c r="L11" s="16" t="s">
        <v>17</v>
      </c>
      <c r="M11" s="27"/>
    </row>
    <row r="12" spans="1:13" ht="15.75" thickBot="1">
      <c r="A12" s="14" t="s">
        <v>49</v>
      </c>
      <c r="B12" s="12" t="s">
        <v>50</v>
      </c>
      <c r="C12" s="17" t="s">
        <v>51</v>
      </c>
      <c r="D12" s="13">
        <v>71.400000000000006</v>
      </c>
      <c r="E12" s="16" t="s">
        <v>16</v>
      </c>
      <c r="F12" s="12" t="s">
        <v>17</v>
      </c>
      <c r="G12" s="16" t="s">
        <v>18</v>
      </c>
      <c r="H12" s="12" t="s">
        <v>14</v>
      </c>
      <c r="I12" s="13" t="s">
        <v>150</v>
      </c>
      <c r="J12" s="16" t="s">
        <v>15</v>
      </c>
      <c r="K12" s="12" t="s">
        <v>163</v>
      </c>
      <c r="L12" s="16" t="s">
        <v>17</v>
      </c>
      <c r="M12" s="27"/>
    </row>
    <row r="13" spans="1:13" ht="34.5" thickBot="1">
      <c r="A13" s="14" t="s">
        <v>52</v>
      </c>
      <c r="B13" s="12" t="s">
        <v>53</v>
      </c>
      <c r="C13" s="17" t="s">
        <v>537</v>
      </c>
      <c r="D13" s="13">
        <v>100</v>
      </c>
      <c r="E13" s="16" t="s">
        <v>440</v>
      </c>
      <c r="F13" s="12" t="s">
        <v>570</v>
      </c>
      <c r="G13" s="16" t="s">
        <v>13</v>
      </c>
      <c r="H13" s="12" t="s">
        <v>14</v>
      </c>
      <c r="I13" s="13" t="s">
        <v>150</v>
      </c>
      <c r="J13" s="16" t="s">
        <v>15</v>
      </c>
      <c r="K13" s="12" t="s">
        <v>163</v>
      </c>
      <c r="L13" s="16" t="s">
        <v>440</v>
      </c>
      <c r="M13" s="27"/>
    </row>
    <row r="14" spans="1:13" ht="15.75" thickBot="1">
      <c r="A14" s="14" t="s">
        <v>54</v>
      </c>
      <c r="B14" s="12" t="s">
        <v>55</v>
      </c>
      <c r="C14" s="17" t="s">
        <v>56</v>
      </c>
      <c r="D14" s="13">
        <v>102.4</v>
      </c>
      <c r="E14" s="16" t="s">
        <v>16</v>
      </c>
      <c r="F14" s="12" t="s">
        <v>17</v>
      </c>
      <c r="G14" s="16" t="s">
        <v>18</v>
      </c>
      <c r="H14" s="12" t="s">
        <v>14</v>
      </c>
      <c r="I14" s="13" t="s">
        <v>150</v>
      </c>
      <c r="J14" s="16" t="s">
        <v>15</v>
      </c>
      <c r="K14" s="12" t="s">
        <v>163</v>
      </c>
      <c r="L14" s="16" t="s">
        <v>17</v>
      </c>
      <c r="M14" s="27"/>
    </row>
    <row r="15" spans="1:13" ht="15.75" thickBot="1">
      <c r="A15" s="14" t="s">
        <v>57</v>
      </c>
      <c r="B15" s="12" t="s">
        <v>58</v>
      </c>
      <c r="C15" s="17" t="s">
        <v>56</v>
      </c>
      <c r="D15" s="13">
        <v>102.4</v>
      </c>
      <c r="E15" s="16" t="s">
        <v>16</v>
      </c>
      <c r="F15" s="12" t="s">
        <v>17</v>
      </c>
      <c r="G15" s="16" t="s">
        <v>18</v>
      </c>
      <c r="H15" s="12" t="s">
        <v>14</v>
      </c>
      <c r="I15" s="13" t="s">
        <v>150</v>
      </c>
      <c r="J15" s="16" t="s">
        <v>15</v>
      </c>
      <c r="K15" s="12" t="s">
        <v>163</v>
      </c>
      <c r="L15" s="16" t="s">
        <v>17</v>
      </c>
      <c r="M15" s="27"/>
    </row>
    <row r="16" spans="1:13" ht="15.75" thickBot="1">
      <c r="A16" s="14" t="s">
        <v>59</v>
      </c>
      <c r="B16" s="12" t="s">
        <v>60</v>
      </c>
      <c r="C16" s="17" t="s">
        <v>61</v>
      </c>
      <c r="D16" s="13">
        <v>112</v>
      </c>
      <c r="E16" s="16" t="s">
        <v>16</v>
      </c>
      <c r="F16" s="12" t="s">
        <v>17</v>
      </c>
      <c r="G16" s="16" t="s">
        <v>18</v>
      </c>
      <c r="H16" s="12" t="s">
        <v>14</v>
      </c>
      <c r="I16" s="13" t="s">
        <v>150</v>
      </c>
      <c r="J16" s="16" t="s">
        <v>15</v>
      </c>
      <c r="K16" s="12" t="s">
        <v>163</v>
      </c>
      <c r="L16" s="16" t="s">
        <v>17</v>
      </c>
      <c r="M16" s="27"/>
    </row>
    <row r="17" spans="1:13" ht="15.75" thickBot="1">
      <c r="A17" s="14" t="s">
        <v>62</v>
      </c>
      <c r="B17" s="12" t="s">
        <v>33</v>
      </c>
      <c r="C17" s="17" t="s">
        <v>63</v>
      </c>
      <c r="D17" s="13">
        <v>80</v>
      </c>
      <c r="E17" s="16" t="s">
        <v>19</v>
      </c>
      <c r="F17" s="12" t="s">
        <v>20</v>
      </c>
      <c r="G17" s="16" t="s">
        <v>13</v>
      </c>
      <c r="H17" s="12" t="s">
        <v>14</v>
      </c>
      <c r="I17" s="13" t="s">
        <v>150</v>
      </c>
      <c r="J17" s="16" t="s">
        <v>15</v>
      </c>
      <c r="K17" s="12" t="s">
        <v>163</v>
      </c>
      <c r="L17" s="16" t="s">
        <v>19</v>
      </c>
      <c r="M17" s="27"/>
    </row>
    <row r="18" spans="1:13" ht="15.75" thickBot="1">
      <c r="A18" s="14" t="s">
        <v>64</v>
      </c>
      <c r="B18" s="12" t="s">
        <v>65</v>
      </c>
      <c r="C18" s="17" t="s">
        <v>66</v>
      </c>
      <c r="D18" s="13">
        <v>159</v>
      </c>
      <c r="E18" s="16" t="s">
        <v>16</v>
      </c>
      <c r="F18" s="12" t="s">
        <v>17</v>
      </c>
      <c r="G18" s="16" t="s">
        <v>18</v>
      </c>
      <c r="H18" s="12" t="s">
        <v>14</v>
      </c>
      <c r="I18" s="13" t="s">
        <v>150</v>
      </c>
      <c r="J18" s="16" t="s">
        <v>15</v>
      </c>
      <c r="K18" s="12" t="s">
        <v>163</v>
      </c>
      <c r="L18" s="16" t="s">
        <v>17</v>
      </c>
      <c r="M18" s="27"/>
    </row>
    <row r="19" spans="1:13" ht="15.75" thickBot="1">
      <c r="A19" s="14" t="s">
        <v>67</v>
      </c>
      <c r="B19" s="12" t="s">
        <v>65</v>
      </c>
      <c r="C19" s="17" t="s">
        <v>68</v>
      </c>
      <c r="D19" s="13">
        <v>39</v>
      </c>
      <c r="E19" s="16" t="s">
        <v>16</v>
      </c>
      <c r="F19" s="12" t="s">
        <v>17</v>
      </c>
      <c r="G19" s="16" t="s">
        <v>18</v>
      </c>
      <c r="H19" s="12" t="s">
        <v>14</v>
      </c>
      <c r="I19" s="13" t="s">
        <v>150</v>
      </c>
      <c r="J19" s="16" t="s">
        <v>15</v>
      </c>
      <c r="K19" s="12" t="s">
        <v>163</v>
      </c>
      <c r="L19" s="16" t="s">
        <v>17</v>
      </c>
      <c r="M19" s="27"/>
    </row>
    <row r="20" spans="1:13" ht="15.75" thickBot="1">
      <c r="A20" s="14" t="s">
        <v>70</v>
      </c>
      <c r="B20" s="12" t="s">
        <v>9</v>
      </c>
      <c r="C20" s="17" t="s">
        <v>71</v>
      </c>
      <c r="D20" s="13">
        <v>20.7</v>
      </c>
      <c r="E20" s="16" t="s">
        <v>11</v>
      </c>
      <c r="F20" s="12" t="s">
        <v>12</v>
      </c>
      <c r="G20" s="16" t="s">
        <v>13</v>
      </c>
      <c r="H20" s="12" t="s">
        <v>14</v>
      </c>
      <c r="I20" s="13" t="s">
        <v>150</v>
      </c>
      <c r="J20" s="16" t="s">
        <v>15</v>
      </c>
      <c r="K20" s="12" t="s">
        <v>163</v>
      </c>
      <c r="L20" s="16" t="s">
        <v>161</v>
      </c>
      <c r="M20" s="27"/>
    </row>
    <row r="21" spans="1:13" ht="15.75" thickBot="1">
      <c r="A21" s="14" t="s">
        <v>72</v>
      </c>
      <c r="B21" s="12" t="s">
        <v>35</v>
      </c>
      <c r="C21" s="17" t="s">
        <v>73</v>
      </c>
      <c r="D21" s="13">
        <v>90</v>
      </c>
      <c r="E21" s="16" t="s">
        <v>19</v>
      </c>
      <c r="F21" s="12" t="s">
        <v>20</v>
      </c>
      <c r="G21" s="16" t="s">
        <v>13</v>
      </c>
      <c r="H21" s="12" t="s">
        <v>14</v>
      </c>
      <c r="I21" s="13" t="s">
        <v>150</v>
      </c>
      <c r="J21" s="16" t="s">
        <v>15</v>
      </c>
      <c r="K21" s="12" t="s">
        <v>163</v>
      </c>
      <c r="L21" s="16" t="s">
        <v>19</v>
      </c>
      <c r="M21" s="27"/>
    </row>
    <row r="22" spans="1:13" ht="23.25" thickBot="1">
      <c r="A22" s="14" t="s">
        <v>74</v>
      </c>
      <c r="B22" s="12" t="s">
        <v>75</v>
      </c>
      <c r="C22" s="17" t="s">
        <v>76</v>
      </c>
      <c r="D22" s="13">
        <v>180</v>
      </c>
      <c r="E22" s="16" t="s">
        <v>32</v>
      </c>
      <c r="F22" s="12" t="s">
        <v>20</v>
      </c>
      <c r="G22" s="16" t="s">
        <v>13</v>
      </c>
      <c r="H22" s="12" t="s">
        <v>14</v>
      </c>
      <c r="I22" s="13" t="s">
        <v>150</v>
      </c>
      <c r="J22" s="16" t="s">
        <v>15</v>
      </c>
      <c r="K22" s="12" t="s">
        <v>163</v>
      </c>
      <c r="L22" s="16" t="s">
        <v>32</v>
      </c>
      <c r="M22" s="27"/>
    </row>
    <row r="23" spans="1:13" ht="15.75" thickBot="1">
      <c r="A23" s="14" t="s">
        <v>77</v>
      </c>
      <c r="B23" s="12" t="s">
        <v>78</v>
      </c>
      <c r="C23" s="17" t="s">
        <v>572</v>
      </c>
      <c r="D23" s="13">
        <v>529</v>
      </c>
      <c r="E23" s="16" t="s">
        <v>32</v>
      </c>
      <c r="F23" s="12" t="s">
        <v>20</v>
      </c>
      <c r="G23" s="16" t="s">
        <v>13</v>
      </c>
      <c r="H23" s="12" t="s">
        <v>14</v>
      </c>
      <c r="I23" s="13" t="s">
        <v>150</v>
      </c>
      <c r="J23" s="16" t="s">
        <v>15</v>
      </c>
      <c r="K23" s="12" t="s">
        <v>163</v>
      </c>
      <c r="L23" s="16" t="s">
        <v>32</v>
      </c>
      <c r="M23" s="27"/>
    </row>
    <row r="24" spans="1:13" ht="23.25" thickBot="1">
      <c r="A24" s="14" t="s">
        <v>79</v>
      </c>
      <c r="B24" s="12" t="s">
        <v>35</v>
      </c>
      <c r="C24" s="17" t="s">
        <v>565</v>
      </c>
      <c r="D24" s="13">
        <v>73.5</v>
      </c>
      <c r="E24" s="16" t="s">
        <v>19</v>
      </c>
      <c r="F24" s="12" t="s">
        <v>12</v>
      </c>
      <c r="G24" s="16" t="s">
        <v>13</v>
      </c>
      <c r="H24" s="12" t="s">
        <v>14</v>
      </c>
      <c r="I24" s="13" t="s">
        <v>150</v>
      </c>
      <c r="J24" s="16" t="s">
        <v>15</v>
      </c>
      <c r="K24" s="12" t="s">
        <v>163</v>
      </c>
      <c r="L24" s="16" t="s">
        <v>19</v>
      </c>
      <c r="M24" s="27"/>
    </row>
    <row r="25" spans="1:13" ht="15.75" thickBot="1">
      <c r="A25" s="14" t="s">
        <v>80</v>
      </c>
      <c r="B25" s="12" t="s">
        <v>9</v>
      </c>
      <c r="C25" s="17" t="s">
        <v>81</v>
      </c>
      <c r="D25" s="13">
        <v>57.6</v>
      </c>
      <c r="E25" s="16" t="s">
        <v>11</v>
      </c>
      <c r="F25" s="12" t="s">
        <v>12</v>
      </c>
      <c r="G25" s="16" t="s">
        <v>13</v>
      </c>
      <c r="H25" s="12" t="s">
        <v>14</v>
      </c>
      <c r="I25" s="13" t="s">
        <v>150</v>
      </c>
      <c r="J25" s="16" t="s">
        <v>15</v>
      </c>
      <c r="K25" s="12" t="s">
        <v>163</v>
      </c>
      <c r="L25" s="16" t="s">
        <v>161</v>
      </c>
      <c r="M25" s="27"/>
    </row>
    <row r="26" spans="1:13" ht="23.25" thickBot="1">
      <c r="A26" s="14" t="s">
        <v>82</v>
      </c>
      <c r="B26" s="12" t="s">
        <v>33</v>
      </c>
      <c r="C26" s="17" t="s">
        <v>566</v>
      </c>
      <c r="D26" s="13">
        <v>224</v>
      </c>
      <c r="E26" s="16" t="s">
        <v>19</v>
      </c>
      <c r="F26" s="12" t="s">
        <v>20</v>
      </c>
      <c r="G26" s="16" t="s">
        <v>13</v>
      </c>
      <c r="H26" s="12" t="s">
        <v>14</v>
      </c>
      <c r="I26" s="13" t="s">
        <v>150</v>
      </c>
      <c r="J26" s="16" t="s">
        <v>15</v>
      </c>
      <c r="K26" s="12" t="s">
        <v>163</v>
      </c>
      <c r="L26" s="16" t="s">
        <v>19</v>
      </c>
      <c r="M26" s="27"/>
    </row>
    <row r="27" spans="1:13" ht="15.75" thickBot="1">
      <c r="A27" s="14" t="s">
        <v>538</v>
      </c>
      <c r="B27" s="12" t="s">
        <v>85</v>
      </c>
      <c r="C27" s="17" t="s">
        <v>86</v>
      </c>
      <c r="D27" s="13">
        <v>270</v>
      </c>
      <c r="E27" s="16" t="s">
        <v>16</v>
      </c>
      <c r="F27" s="12" t="s">
        <v>17</v>
      </c>
      <c r="G27" s="16" t="s">
        <v>18</v>
      </c>
      <c r="H27" s="12" t="s">
        <v>14</v>
      </c>
      <c r="I27" s="13" t="s">
        <v>150</v>
      </c>
      <c r="J27" s="16" t="s">
        <v>15</v>
      </c>
      <c r="K27" s="12" t="s">
        <v>163</v>
      </c>
      <c r="L27" s="16" t="s">
        <v>17</v>
      </c>
      <c r="M27" s="27"/>
    </row>
    <row r="28" spans="1:13" ht="15.75" thickBot="1">
      <c r="A28" s="14" t="s">
        <v>539</v>
      </c>
      <c r="B28" s="12" t="s">
        <v>83</v>
      </c>
      <c r="C28" s="17" t="s">
        <v>84</v>
      </c>
      <c r="D28" s="13">
        <v>98.7</v>
      </c>
      <c r="E28" s="16" t="s">
        <v>16</v>
      </c>
      <c r="F28" s="12" t="s">
        <v>17</v>
      </c>
      <c r="G28" s="16" t="s">
        <v>18</v>
      </c>
      <c r="H28" s="12" t="s">
        <v>14</v>
      </c>
      <c r="I28" s="13" t="s">
        <v>150</v>
      </c>
      <c r="J28" s="16" t="s">
        <v>15</v>
      </c>
      <c r="K28" s="12" t="s">
        <v>163</v>
      </c>
      <c r="L28" s="16" t="s">
        <v>17</v>
      </c>
      <c r="M28" s="27"/>
    </row>
    <row r="29" spans="1:13" ht="15.75" thickBot="1">
      <c r="A29" s="14" t="s">
        <v>87</v>
      </c>
      <c r="B29" s="12" t="s">
        <v>35</v>
      </c>
      <c r="C29" s="17" t="s">
        <v>88</v>
      </c>
      <c r="D29" s="13">
        <v>63</v>
      </c>
      <c r="E29" s="16" t="s">
        <v>19</v>
      </c>
      <c r="F29" s="12" t="s">
        <v>12</v>
      </c>
      <c r="G29" s="16" t="s">
        <v>13</v>
      </c>
      <c r="H29" s="12" t="s">
        <v>14</v>
      </c>
      <c r="I29" s="13" t="s">
        <v>150</v>
      </c>
      <c r="J29" s="16" t="s">
        <v>15</v>
      </c>
      <c r="K29" s="12" t="s">
        <v>163</v>
      </c>
      <c r="L29" s="16" t="s">
        <v>19</v>
      </c>
      <c r="M29" s="27"/>
    </row>
    <row r="30" spans="1:13" s="87" customFormat="1" ht="15.75" thickBot="1">
      <c r="A30" s="14" t="s">
        <v>106</v>
      </c>
      <c r="B30" s="12" t="s">
        <v>178</v>
      </c>
      <c r="C30" s="17" t="s">
        <v>612</v>
      </c>
      <c r="D30" s="13">
        <v>108</v>
      </c>
      <c r="E30" s="16" t="s">
        <v>27</v>
      </c>
      <c r="F30" s="12" t="s">
        <v>28</v>
      </c>
      <c r="G30" s="16" t="s">
        <v>18</v>
      </c>
      <c r="H30" s="12" t="s">
        <v>14</v>
      </c>
      <c r="I30" s="13" t="s">
        <v>150</v>
      </c>
      <c r="J30" s="16" t="s">
        <v>15</v>
      </c>
      <c r="K30" s="12" t="s">
        <v>163</v>
      </c>
      <c r="L30" s="16" t="s">
        <v>28</v>
      </c>
    </row>
    <row r="31" spans="1:13" ht="15.75" thickBot="1">
      <c r="A31" s="14" t="s">
        <v>90</v>
      </c>
      <c r="B31" s="12" t="s">
        <v>24</v>
      </c>
      <c r="C31" s="17" t="s">
        <v>540</v>
      </c>
      <c r="D31" s="13">
        <v>480</v>
      </c>
      <c r="E31" s="16" t="s">
        <v>25</v>
      </c>
      <c r="F31" s="12" t="s">
        <v>20</v>
      </c>
      <c r="G31" s="16" t="s">
        <v>13</v>
      </c>
      <c r="H31" s="12" t="s">
        <v>69</v>
      </c>
      <c r="I31" s="13" t="s">
        <v>150</v>
      </c>
      <c r="J31" s="16" t="s">
        <v>15</v>
      </c>
      <c r="K31" s="12" t="s">
        <v>69</v>
      </c>
      <c r="L31" s="16" t="s">
        <v>159</v>
      </c>
      <c r="M31" s="27"/>
    </row>
    <row r="32" spans="1:13" ht="15.75" thickBot="1">
      <c r="A32" s="14" t="s">
        <v>91</v>
      </c>
      <c r="B32" s="12" t="s">
        <v>24</v>
      </c>
      <c r="C32" s="17" t="s">
        <v>92</v>
      </c>
      <c r="D32" s="13">
        <v>800</v>
      </c>
      <c r="E32" s="16" t="s">
        <v>25</v>
      </c>
      <c r="F32" s="12" t="s">
        <v>20</v>
      </c>
      <c r="G32" s="16" t="s">
        <v>13</v>
      </c>
      <c r="H32" s="12" t="s">
        <v>14</v>
      </c>
      <c r="I32" s="13" t="s">
        <v>150</v>
      </c>
      <c r="J32" s="16" t="s">
        <v>15</v>
      </c>
      <c r="K32" s="12" t="s">
        <v>163</v>
      </c>
      <c r="L32" s="16" t="s">
        <v>159</v>
      </c>
      <c r="M32" s="27"/>
    </row>
    <row r="33" spans="1:13" ht="23.25" thickBot="1">
      <c r="A33" s="14" t="s">
        <v>541</v>
      </c>
      <c r="B33" s="12" t="s">
        <v>94</v>
      </c>
      <c r="C33" s="17" t="s">
        <v>95</v>
      </c>
      <c r="D33" s="13">
        <v>130.80000000000001</v>
      </c>
      <c r="E33" s="16" t="s">
        <v>16</v>
      </c>
      <c r="F33" s="12" t="s">
        <v>17</v>
      </c>
      <c r="G33" s="16" t="s">
        <v>18</v>
      </c>
      <c r="H33" s="12" t="s">
        <v>14</v>
      </c>
      <c r="I33" s="13" t="s">
        <v>150</v>
      </c>
      <c r="J33" s="16" t="s">
        <v>15</v>
      </c>
      <c r="K33" s="12" t="s">
        <v>163</v>
      </c>
      <c r="L33" s="16" t="s">
        <v>17</v>
      </c>
      <c r="M33" s="27"/>
    </row>
    <row r="34" spans="1:13" ht="15.75" thickBot="1">
      <c r="A34" s="87"/>
      <c r="B34" s="87"/>
      <c r="C34" s="87"/>
      <c r="D34" s="87"/>
      <c r="E34" s="87"/>
      <c r="F34" s="87"/>
      <c r="G34" s="87"/>
      <c r="H34" s="87"/>
      <c r="J34" s="87"/>
      <c r="K34" s="87"/>
      <c r="M34" s="27"/>
    </row>
    <row r="35" spans="1:13" ht="15.75" thickBot="1">
      <c r="A35" s="57" t="s">
        <v>96</v>
      </c>
      <c r="B35" s="95"/>
      <c r="C35" s="96"/>
      <c r="D35" s="58">
        <f>SUM(existingstable[Nameplate Capacity (MW)])</f>
        <v>4807.84</v>
      </c>
      <c r="E35" s="96"/>
      <c r="F35" s="95"/>
      <c r="G35" s="96"/>
      <c r="H35" s="95"/>
      <c r="I35" s="149"/>
    </row>
    <row r="37" spans="1:13" ht="36.75" customHeight="1">
      <c r="A37" s="174" t="s">
        <v>571</v>
      </c>
      <c r="B37" s="174"/>
      <c r="C37" s="174"/>
      <c r="D37" s="174"/>
      <c r="E37" s="174"/>
      <c r="F37" s="174"/>
      <c r="G37" s="174"/>
      <c r="H37" s="174"/>
      <c r="I37" s="174"/>
      <c r="J37" s="174"/>
      <c r="K37" s="174"/>
    </row>
    <row r="39" spans="1:13" s="87" customFormat="1" ht="28.5" customHeight="1">
      <c r="A39" s="27"/>
      <c r="B39" s="27"/>
      <c r="C39" s="27"/>
      <c r="D39" s="27"/>
      <c r="E39" s="27"/>
      <c r="F39" s="27"/>
      <c r="G39" s="27"/>
      <c r="H39" s="27"/>
      <c r="J39" s="27"/>
      <c r="K39" s="27"/>
    </row>
  </sheetData>
  <mergeCells count="1">
    <mergeCell ref="A37:K37"/>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C100"/>
  <sheetViews>
    <sheetView workbookViewId="0"/>
  </sheetViews>
  <sheetFormatPr defaultColWidth="9.140625" defaultRowHeight="15"/>
  <cols>
    <col min="1" max="1" width="27.28515625" style="87" bestFit="1" customWidth="1"/>
    <col min="2" max="11" width="10.7109375" style="87" bestFit="1" customWidth="1"/>
    <col min="12" max="12" width="16.140625" style="87" bestFit="1" customWidth="1"/>
    <col min="13" max="13" width="12.7109375" style="87" hidden="1" customWidth="1"/>
    <col min="14" max="14" width="11" style="87" hidden="1" customWidth="1"/>
    <col min="15" max="15" width="11.42578125" style="87" hidden="1" customWidth="1"/>
    <col min="16" max="21" width="9.140625" style="87"/>
    <col min="22" max="16384" width="9.140625" style="27"/>
  </cols>
  <sheetData>
    <row r="1" spans="1:107" ht="20.25" thickBot="1">
      <c r="A1" s="63" t="s">
        <v>401</v>
      </c>
      <c r="B1" s="27"/>
      <c r="C1" s="27"/>
      <c r="D1" s="27"/>
      <c r="E1" s="27"/>
      <c r="F1" s="27"/>
      <c r="G1" s="27"/>
      <c r="H1" s="27"/>
      <c r="I1" s="27"/>
      <c r="J1" s="27"/>
      <c r="K1" s="27"/>
      <c r="L1" s="27"/>
      <c r="M1" s="27"/>
      <c r="N1" s="27"/>
      <c r="O1" s="27"/>
      <c r="P1" s="27"/>
      <c r="Q1" s="27"/>
      <c r="R1" s="27"/>
      <c r="S1" s="27"/>
      <c r="T1" s="27"/>
      <c r="U1" s="27"/>
    </row>
    <row r="2" spans="1:107" customFormat="1" ht="15.75" thickBot="1">
      <c r="A2" s="118" t="s">
        <v>402</v>
      </c>
      <c r="B2" s="118" t="s">
        <v>555</v>
      </c>
      <c r="C2" s="118" t="s">
        <v>556</v>
      </c>
      <c r="D2" s="118" t="s">
        <v>557</v>
      </c>
      <c r="E2" s="118" t="s">
        <v>558</v>
      </c>
      <c r="F2" s="118" t="s">
        <v>559</v>
      </c>
      <c r="G2" s="118" t="s">
        <v>560</v>
      </c>
      <c r="H2" s="118" t="s">
        <v>561</v>
      </c>
      <c r="I2" s="118" t="s">
        <v>562</v>
      </c>
      <c r="J2" s="118" t="s">
        <v>563</v>
      </c>
      <c r="K2" s="118" t="s">
        <v>564</v>
      </c>
      <c r="L2" s="118" t="s">
        <v>467</v>
      </c>
      <c r="M2" s="62" t="s">
        <v>403</v>
      </c>
      <c r="N2" s="62" t="s">
        <v>7</v>
      </c>
      <c r="O2" s="62" t="s">
        <v>404</v>
      </c>
      <c r="P2" s="87"/>
      <c r="Q2" s="87"/>
      <c r="R2" s="87"/>
      <c r="S2" s="87"/>
      <c r="T2" s="87"/>
      <c r="U2" s="8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row>
    <row r="3" spans="1:107" customFormat="1" ht="15.75" thickBot="1">
      <c r="A3" s="15" t="s">
        <v>8</v>
      </c>
      <c r="B3" s="136">
        <v>50</v>
      </c>
      <c r="C3" s="139">
        <v>50</v>
      </c>
      <c r="D3" s="136">
        <v>50</v>
      </c>
      <c r="E3" s="139">
        <v>50</v>
      </c>
      <c r="F3" s="136">
        <v>50</v>
      </c>
      <c r="G3" s="139">
        <v>50</v>
      </c>
      <c r="H3" s="136">
        <v>50</v>
      </c>
      <c r="I3" s="139">
        <v>50</v>
      </c>
      <c r="J3" s="136">
        <v>50</v>
      </c>
      <c r="K3" s="139">
        <v>50</v>
      </c>
      <c r="L3" s="142" t="s">
        <v>13</v>
      </c>
      <c r="M3" s="19" t="s">
        <v>405</v>
      </c>
      <c r="N3" s="142" t="s">
        <v>15</v>
      </c>
      <c r="O3" s="19" t="s">
        <v>406</v>
      </c>
      <c r="P3" s="87"/>
      <c r="Q3" s="87"/>
      <c r="R3" s="87"/>
      <c r="S3" s="87"/>
      <c r="T3" s="87"/>
      <c r="U3" s="8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row>
    <row r="4" spans="1:107" customFormat="1" ht="15.75" thickBot="1">
      <c r="A4" s="14" t="s">
        <v>98</v>
      </c>
      <c r="B4" s="135">
        <v>0</v>
      </c>
      <c r="C4" s="138">
        <v>210</v>
      </c>
      <c r="D4" s="135">
        <v>210</v>
      </c>
      <c r="E4" s="138">
        <v>210</v>
      </c>
      <c r="F4" s="135">
        <v>210</v>
      </c>
      <c r="G4" s="138">
        <v>210</v>
      </c>
      <c r="H4" s="135">
        <v>210</v>
      </c>
      <c r="I4" s="138">
        <v>210</v>
      </c>
      <c r="J4" s="135">
        <v>210</v>
      </c>
      <c r="K4" s="138">
        <v>210</v>
      </c>
      <c r="L4" s="141" t="s">
        <v>13</v>
      </c>
      <c r="M4" s="18" t="s">
        <v>405</v>
      </c>
      <c r="N4" s="141" t="s">
        <v>15</v>
      </c>
      <c r="O4" s="18" t="s">
        <v>406</v>
      </c>
      <c r="P4" s="87"/>
      <c r="Q4" s="87"/>
      <c r="R4" s="87"/>
      <c r="S4" s="87"/>
      <c r="T4" s="87"/>
      <c r="U4" s="8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row>
    <row r="5" spans="1:107" customFormat="1" ht="15.75" thickBot="1">
      <c r="A5" s="14" t="s">
        <v>204</v>
      </c>
      <c r="B5" s="135">
        <v>110</v>
      </c>
      <c r="C5" s="138">
        <v>110</v>
      </c>
      <c r="D5" s="135">
        <v>110</v>
      </c>
      <c r="E5" s="138">
        <v>110</v>
      </c>
      <c r="F5" s="135">
        <v>110</v>
      </c>
      <c r="G5" s="138">
        <v>110</v>
      </c>
      <c r="H5" s="135">
        <v>110</v>
      </c>
      <c r="I5" s="138">
        <v>110</v>
      </c>
      <c r="J5" s="135">
        <v>110</v>
      </c>
      <c r="K5" s="138">
        <v>110</v>
      </c>
      <c r="L5" s="141" t="s">
        <v>18</v>
      </c>
      <c r="M5" s="18" t="s">
        <v>28</v>
      </c>
      <c r="N5" s="141" t="s">
        <v>15</v>
      </c>
      <c r="O5" s="18" t="s">
        <v>406</v>
      </c>
      <c r="P5" s="87"/>
      <c r="Q5" s="87"/>
      <c r="R5" s="87"/>
      <c r="S5" s="87"/>
      <c r="T5" s="87"/>
      <c r="U5" s="8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row>
    <row r="6" spans="1:107" customFormat="1" ht="15.75" thickBot="1">
      <c r="A6" s="14" t="s">
        <v>207</v>
      </c>
      <c r="B6" s="135">
        <v>110</v>
      </c>
      <c r="C6" s="138">
        <v>110</v>
      </c>
      <c r="D6" s="135">
        <v>110</v>
      </c>
      <c r="E6" s="138">
        <v>110</v>
      </c>
      <c r="F6" s="135">
        <v>110</v>
      </c>
      <c r="G6" s="138">
        <v>110</v>
      </c>
      <c r="H6" s="135">
        <v>110</v>
      </c>
      <c r="I6" s="138">
        <v>110</v>
      </c>
      <c r="J6" s="135">
        <v>110</v>
      </c>
      <c r="K6" s="138">
        <v>110</v>
      </c>
      <c r="L6" s="141" t="s">
        <v>18</v>
      </c>
      <c r="M6" s="18" t="s">
        <v>28</v>
      </c>
      <c r="N6" s="141" t="s">
        <v>15</v>
      </c>
      <c r="O6" s="18" t="s">
        <v>406</v>
      </c>
      <c r="P6" s="87"/>
      <c r="Q6" s="87"/>
      <c r="R6" s="87"/>
      <c r="S6" s="87"/>
      <c r="T6" s="87"/>
      <c r="U6" s="8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row>
    <row r="7" spans="1:107" customFormat="1" ht="15.75" thickBot="1">
      <c r="A7" s="14" t="s">
        <v>536</v>
      </c>
      <c r="B7" s="135">
        <v>56.7</v>
      </c>
      <c r="C7" s="138">
        <v>56.7</v>
      </c>
      <c r="D7" s="135">
        <v>56.7</v>
      </c>
      <c r="E7" s="138">
        <v>56.7</v>
      </c>
      <c r="F7" s="135">
        <v>56.7</v>
      </c>
      <c r="G7" s="138">
        <v>56.7</v>
      </c>
      <c r="H7" s="135">
        <v>56.7</v>
      </c>
      <c r="I7" s="138">
        <v>56.7</v>
      </c>
      <c r="J7" s="135">
        <v>56.7</v>
      </c>
      <c r="K7" s="138">
        <v>56.7</v>
      </c>
      <c r="L7" s="141" t="s">
        <v>18</v>
      </c>
      <c r="M7" s="18" t="s">
        <v>17</v>
      </c>
      <c r="N7" s="141" t="s">
        <v>15</v>
      </c>
      <c r="O7" s="18" t="s">
        <v>406</v>
      </c>
      <c r="P7" s="87"/>
      <c r="Q7" s="87"/>
      <c r="R7" s="87"/>
      <c r="S7" s="87"/>
      <c r="T7" s="87"/>
      <c r="U7" s="8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row>
    <row r="8" spans="1:107" customFormat="1" ht="15.75" thickBot="1">
      <c r="A8" s="14" t="s">
        <v>34</v>
      </c>
      <c r="B8" s="135">
        <v>112</v>
      </c>
      <c r="C8" s="138">
        <v>112</v>
      </c>
      <c r="D8" s="135">
        <v>112</v>
      </c>
      <c r="E8" s="138">
        <v>112</v>
      </c>
      <c r="F8" s="135">
        <v>112</v>
      </c>
      <c r="G8" s="138">
        <v>112</v>
      </c>
      <c r="H8" s="135">
        <v>112</v>
      </c>
      <c r="I8" s="138">
        <v>112</v>
      </c>
      <c r="J8" s="135">
        <v>112</v>
      </c>
      <c r="K8" s="138">
        <v>112</v>
      </c>
      <c r="L8" s="141" t="s">
        <v>13</v>
      </c>
      <c r="M8" s="18" t="s">
        <v>405</v>
      </c>
      <c r="N8" s="141" t="s">
        <v>15</v>
      </c>
      <c r="O8" s="18" t="s">
        <v>406</v>
      </c>
      <c r="P8" s="87"/>
      <c r="Q8" s="87"/>
      <c r="R8" s="87"/>
      <c r="S8" s="87"/>
      <c r="T8" s="87"/>
      <c r="U8" s="8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row>
    <row r="9" spans="1:107" customFormat="1" ht="15.75" thickBot="1">
      <c r="A9" s="14" t="s">
        <v>209</v>
      </c>
      <c r="B9" s="135">
        <v>30</v>
      </c>
      <c r="C9" s="138">
        <v>30</v>
      </c>
      <c r="D9" s="135">
        <v>30</v>
      </c>
      <c r="E9" s="138">
        <v>30</v>
      </c>
      <c r="F9" s="135">
        <v>30</v>
      </c>
      <c r="G9" s="138">
        <v>30</v>
      </c>
      <c r="H9" s="135">
        <v>30</v>
      </c>
      <c r="I9" s="138">
        <v>30</v>
      </c>
      <c r="J9" s="135">
        <v>30</v>
      </c>
      <c r="K9" s="138">
        <v>30</v>
      </c>
      <c r="L9" s="141" t="s">
        <v>13</v>
      </c>
      <c r="M9" s="18" t="s">
        <v>570</v>
      </c>
      <c r="N9" s="141" t="s">
        <v>15</v>
      </c>
      <c r="O9" s="18" t="s">
        <v>406</v>
      </c>
      <c r="P9" s="87"/>
      <c r="Q9" s="87"/>
      <c r="R9" s="87"/>
      <c r="S9" s="87"/>
      <c r="T9" s="87"/>
      <c r="U9" s="8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row>
    <row r="10" spans="1:107" customFormat="1" ht="15.75" thickBot="1">
      <c r="A10" s="14" t="s">
        <v>37</v>
      </c>
      <c r="B10" s="135">
        <v>81.900000000000006</v>
      </c>
      <c r="C10" s="138">
        <v>81.900000000000006</v>
      </c>
      <c r="D10" s="135">
        <v>81.900000000000006</v>
      </c>
      <c r="E10" s="138">
        <v>81.900000000000006</v>
      </c>
      <c r="F10" s="135">
        <v>81.900000000000006</v>
      </c>
      <c r="G10" s="138">
        <v>81.900000000000006</v>
      </c>
      <c r="H10" s="135">
        <v>81.900000000000006</v>
      </c>
      <c r="I10" s="138">
        <v>81.900000000000006</v>
      </c>
      <c r="J10" s="135">
        <v>81.900000000000006</v>
      </c>
      <c r="K10" s="138">
        <v>81.900000000000006</v>
      </c>
      <c r="L10" s="141" t="s">
        <v>18</v>
      </c>
      <c r="M10" s="18" t="s">
        <v>17</v>
      </c>
      <c r="N10" s="141" t="s">
        <v>15</v>
      </c>
      <c r="O10" s="18" t="s">
        <v>406</v>
      </c>
      <c r="P10" s="87"/>
      <c r="Q10" s="87"/>
      <c r="R10" s="87"/>
      <c r="S10" s="87"/>
      <c r="T10" s="87"/>
      <c r="U10" s="8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row>
    <row r="11" spans="1:107" customFormat="1" ht="15.75" thickBot="1">
      <c r="A11" s="14" t="s">
        <v>40</v>
      </c>
      <c r="B11" s="135">
        <v>32.5</v>
      </c>
      <c r="C11" s="138">
        <v>32.5</v>
      </c>
      <c r="D11" s="135">
        <v>32.5</v>
      </c>
      <c r="E11" s="138">
        <v>32.5</v>
      </c>
      <c r="F11" s="135">
        <v>32.5</v>
      </c>
      <c r="G11" s="138">
        <v>32.5</v>
      </c>
      <c r="H11" s="135">
        <v>32.5</v>
      </c>
      <c r="I11" s="138">
        <v>32.5</v>
      </c>
      <c r="J11" s="135">
        <v>32.5</v>
      </c>
      <c r="K11" s="138">
        <v>32.5</v>
      </c>
      <c r="L11" s="141" t="s">
        <v>18</v>
      </c>
      <c r="M11" s="18" t="s">
        <v>17</v>
      </c>
      <c r="N11" s="141" t="s">
        <v>15</v>
      </c>
      <c r="O11" s="18" t="s">
        <v>406</v>
      </c>
      <c r="P11" s="87"/>
      <c r="Q11" s="87"/>
      <c r="R11" s="87"/>
      <c r="S11" s="87"/>
      <c r="T11" s="87"/>
      <c r="U11" s="8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row>
    <row r="12" spans="1:107" customFormat="1" ht="15.75" thickBot="1">
      <c r="A12" s="14" t="s">
        <v>43</v>
      </c>
      <c r="B12" s="135">
        <v>193</v>
      </c>
      <c r="C12" s="138">
        <v>193</v>
      </c>
      <c r="D12" s="135">
        <v>193</v>
      </c>
      <c r="E12" s="138">
        <v>193</v>
      </c>
      <c r="F12" s="135">
        <v>193</v>
      </c>
      <c r="G12" s="138">
        <v>193</v>
      </c>
      <c r="H12" s="135">
        <v>193</v>
      </c>
      <c r="I12" s="138">
        <v>193</v>
      </c>
      <c r="J12" s="135">
        <v>193</v>
      </c>
      <c r="K12" s="138">
        <v>193</v>
      </c>
      <c r="L12" s="141" t="s">
        <v>13</v>
      </c>
      <c r="M12" s="18" t="s">
        <v>405</v>
      </c>
      <c r="N12" s="141" t="s">
        <v>15</v>
      </c>
      <c r="O12" s="18" t="s">
        <v>406</v>
      </c>
      <c r="P12" s="87"/>
      <c r="Q12" s="87"/>
      <c r="R12" s="87"/>
      <c r="S12" s="87"/>
      <c r="T12" s="87"/>
      <c r="U12" s="8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row>
    <row r="13" spans="1:107" customFormat="1" ht="15.75" thickBot="1">
      <c r="A13" s="14" t="s">
        <v>408</v>
      </c>
      <c r="B13" s="135">
        <v>0</v>
      </c>
      <c r="C13" s="138">
        <v>0</v>
      </c>
      <c r="D13" s="135">
        <v>0</v>
      </c>
      <c r="E13" s="138">
        <v>0</v>
      </c>
      <c r="F13" s="135">
        <v>0</v>
      </c>
      <c r="G13" s="138">
        <v>0</v>
      </c>
      <c r="H13" s="135">
        <v>0</v>
      </c>
      <c r="I13" s="138">
        <v>0</v>
      </c>
      <c r="J13" s="135">
        <v>0</v>
      </c>
      <c r="K13" s="138">
        <v>0</v>
      </c>
      <c r="L13" s="141" t="s">
        <v>13</v>
      </c>
      <c r="M13" s="18" t="s">
        <v>405</v>
      </c>
      <c r="N13" s="141" t="s">
        <v>15</v>
      </c>
      <c r="O13" s="18" t="s">
        <v>406</v>
      </c>
      <c r="P13" s="87"/>
      <c r="Q13" s="87"/>
      <c r="R13" s="87"/>
      <c r="S13" s="87"/>
      <c r="T13" s="87"/>
      <c r="U13" s="8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row>
    <row r="14" spans="1:107" customFormat="1" ht="15.75" thickBot="1">
      <c r="A14" s="14" t="s">
        <v>46</v>
      </c>
      <c r="B14" s="135">
        <v>58.5</v>
      </c>
      <c r="C14" s="138">
        <v>58.5</v>
      </c>
      <c r="D14" s="135">
        <v>58.5</v>
      </c>
      <c r="E14" s="138">
        <v>58.5</v>
      </c>
      <c r="F14" s="135">
        <v>58.5</v>
      </c>
      <c r="G14" s="138">
        <v>58.5</v>
      </c>
      <c r="H14" s="135">
        <v>58.5</v>
      </c>
      <c r="I14" s="138">
        <v>58.5</v>
      </c>
      <c r="J14" s="135">
        <v>58.5</v>
      </c>
      <c r="K14" s="138">
        <v>58.5</v>
      </c>
      <c r="L14" s="141" t="s">
        <v>18</v>
      </c>
      <c r="M14" s="18" t="s">
        <v>17</v>
      </c>
      <c r="N14" s="141" t="s">
        <v>15</v>
      </c>
      <c r="O14" s="18" t="s">
        <v>406</v>
      </c>
      <c r="P14" s="87"/>
      <c r="Q14" s="87"/>
      <c r="R14" s="87"/>
      <c r="S14" s="87"/>
      <c r="T14" s="87"/>
      <c r="U14" s="8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row>
    <row r="15" spans="1:107" customFormat="1" ht="15.75" thickBot="1">
      <c r="A15" s="14" t="s">
        <v>49</v>
      </c>
      <c r="B15" s="135">
        <v>44.2</v>
      </c>
      <c r="C15" s="138">
        <v>44.2</v>
      </c>
      <c r="D15" s="135">
        <v>44.2</v>
      </c>
      <c r="E15" s="138">
        <v>44.2</v>
      </c>
      <c r="F15" s="135">
        <v>44.2</v>
      </c>
      <c r="G15" s="138">
        <v>44.2</v>
      </c>
      <c r="H15" s="135">
        <v>44.2</v>
      </c>
      <c r="I15" s="138">
        <v>44.2</v>
      </c>
      <c r="J15" s="135">
        <v>44.2</v>
      </c>
      <c r="K15" s="138">
        <v>44.2</v>
      </c>
      <c r="L15" s="141" t="s">
        <v>18</v>
      </c>
      <c r="M15" s="18" t="s">
        <v>17</v>
      </c>
      <c r="N15" s="141" t="s">
        <v>15</v>
      </c>
      <c r="O15" s="18" t="s">
        <v>406</v>
      </c>
      <c r="P15" s="87"/>
      <c r="Q15" s="87"/>
      <c r="R15" s="87"/>
      <c r="S15" s="87"/>
      <c r="T15" s="87"/>
      <c r="U15" s="8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row>
    <row r="16" spans="1:107" customFormat="1" ht="15.75" thickBot="1">
      <c r="A16" s="14" t="s">
        <v>52</v>
      </c>
      <c r="B16" s="135">
        <v>100</v>
      </c>
      <c r="C16" s="138">
        <v>100</v>
      </c>
      <c r="D16" s="135">
        <v>100</v>
      </c>
      <c r="E16" s="138">
        <v>100</v>
      </c>
      <c r="F16" s="135">
        <v>100</v>
      </c>
      <c r="G16" s="138">
        <v>100</v>
      </c>
      <c r="H16" s="135">
        <v>100</v>
      </c>
      <c r="I16" s="138">
        <v>100</v>
      </c>
      <c r="J16" s="135">
        <v>100</v>
      </c>
      <c r="K16" s="138">
        <v>100</v>
      </c>
      <c r="L16" s="141" t="s">
        <v>13</v>
      </c>
      <c r="M16" s="18" t="s">
        <v>570</v>
      </c>
      <c r="N16" s="141" t="s">
        <v>15</v>
      </c>
      <c r="O16" s="18" t="s">
        <v>406</v>
      </c>
      <c r="P16" s="87"/>
      <c r="Q16" s="87"/>
      <c r="R16" s="87"/>
      <c r="S16" s="87"/>
      <c r="T16" s="87"/>
      <c r="U16" s="8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row>
    <row r="17" spans="1:107" customFormat="1" ht="15.75" thickBot="1">
      <c r="A17" s="14" t="s">
        <v>54</v>
      </c>
      <c r="B17" s="135">
        <v>100</v>
      </c>
      <c r="C17" s="138">
        <v>100</v>
      </c>
      <c r="D17" s="135">
        <v>100</v>
      </c>
      <c r="E17" s="138">
        <v>100</v>
      </c>
      <c r="F17" s="135">
        <v>100</v>
      </c>
      <c r="G17" s="138">
        <v>100</v>
      </c>
      <c r="H17" s="135">
        <v>100</v>
      </c>
      <c r="I17" s="138">
        <v>100</v>
      </c>
      <c r="J17" s="135">
        <v>100</v>
      </c>
      <c r="K17" s="138">
        <v>100</v>
      </c>
      <c r="L17" s="141" t="s">
        <v>18</v>
      </c>
      <c r="M17" s="18" t="s">
        <v>17</v>
      </c>
      <c r="N17" s="141" t="s">
        <v>15</v>
      </c>
      <c r="O17" s="18" t="s">
        <v>406</v>
      </c>
      <c r="P17" s="87"/>
      <c r="Q17" s="87"/>
      <c r="R17" s="87"/>
      <c r="S17" s="87"/>
      <c r="T17" s="87"/>
      <c r="U17" s="8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row>
    <row r="18" spans="1:107" customFormat="1" ht="15.75" thickBot="1">
      <c r="A18" s="14" t="s">
        <v>57</v>
      </c>
      <c r="B18" s="135">
        <v>100</v>
      </c>
      <c r="C18" s="138">
        <v>100</v>
      </c>
      <c r="D18" s="135">
        <v>100</v>
      </c>
      <c r="E18" s="138">
        <v>100</v>
      </c>
      <c r="F18" s="135">
        <v>100</v>
      </c>
      <c r="G18" s="138">
        <v>100</v>
      </c>
      <c r="H18" s="135">
        <v>100</v>
      </c>
      <c r="I18" s="138">
        <v>100</v>
      </c>
      <c r="J18" s="135">
        <v>100</v>
      </c>
      <c r="K18" s="138">
        <v>100</v>
      </c>
      <c r="L18" s="141" t="s">
        <v>18</v>
      </c>
      <c r="M18" s="18" t="s">
        <v>17</v>
      </c>
      <c r="N18" s="141" t="s">
        <v>15</v>
      </c>
      <c r="O18" s="18" t="s">
        <v>406</v>
      </c>
      <c r="P18" s="87"/>
      <c r="Q18" s="87"/>
      <c r="R18" s="87"/>
      <c r="S18" s="87"/>
      <c r="T18" s="87"/>
      <c r="U18" s="8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row>
    <row r="19" spans="1:107" customFormat="1" ht="15.75" thickBot="1">
      <c r="A19" s="14" t="s">
        <v>59</v>
      </c>
      <c r="B19" s="135">
        <v>109</v>
      </c>
      <c r="C19" s="138">
        <v>109</v>
      </c>
      <c r="D19" s="135">
        <v>109</v>
      </c>
      <c r="E19" s="138">
        <v>109</v>
      </c>
      <c r="F19" s="135">
        <v>109</v>
      </c>
      <c r="G19" s="138">
        <v>109</v>
      </c>
      <c r="H19" s="135">
        <v>109</v>
      </c>
      <c r="I19" s="138">
        <v>109</v>
      </c>
      <c r="J19" s="135">
        <v>109</v>
      </c>
      <c r="K19" s="138">
        <v>109</v>
      </c>
      <c r="L19" s="141" t="s">
        <v>18</v>
      </c>
      <c r="M19" s="18" t="s">
        <v>17</v>
      </c>
      <c r="N19" s="141" t="s">
        <v>15</v>
      </c>
      <c r="O19" s="18" t="s">
        <v>406</v>
      </c>
      <c r="P19" s="87"/>
      <c r="Q19" s="87"/>
      <c r="R19" s="87"/>
      <c r="S19" s="87"/>
      <c r="T19" s="87"/>
      <c r="U19" s="8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row>
    <row r="20" spans="1:107" customFormat="1" ht="15.75" thickBot="1">
      <c r="A20" s="14" t="s">
        <v>62</v>
      </c>
      <c r="B20" s="135">
        <v>68</v>
      </c>
      <c r="C20" s="138">
        <v>68</v>
      </c>
      <c r="D20" s="135">
        <v>68</v>
      </c>
      <c r="E20" s="138">
        <v>68</v>
      </c>
      <c r="F20" s="135">
        <v>68</v>
      </c>
      <c r="G20" s="138">
        <v>68</v>
      </c>
      <c r="H20" s="135">
        <v>68</v>
      </c>
      <c r="I20" s="138">
        <v>68</v>
      </c>
      <c r="J20" s="135">
        <v>68</v>
      </c>
      <c r="K20" s="138">
        <v>68</v>
      </c>
      <c r="L20" s="141" t="s">
        <v>13</v>
      </c>
      <c r="M20" s="18" t="s">
        <v>405</v>
      </c>
      <c r="N20" s="141" t="s">
        <v>15</v>
      </c>
      <c r="O20" s="18" t="s">
        <v>406</v>
      </c>
      <c r="P20" s="87"/>
      <c r="Q20" s="87"/>
      <c r="R20" s="87"/>
      <c r="S20" s="87"/>
      <c r="T20" s="87"/>
      <c r="U20" s="8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row>
    <row r="21" spans="1:107" customFormat="1" ht="15.75" thickBot="1">
      <c r="A21" s="14" t="s">
        <v>64</v>
      </c>
      <c r="B21" s="135">
        <v>159</v>
      </c>
      <c r="C21" s="138">
        <v>159</v>
      </c>
      <c r="D21" s="135">
        <v>159</v>
      </c>
      <c r="E21" s="138">
        <v>159</v>
      </c>
      <c r="F21" s="135">
        <v>159</v>
      </c>
      <c r="G21" s="138">
        <v>159</v>
      </c>
      <c r="H21" s="135">
        <v>159</v>
      </c>
      <c r="I21" s="138">
        <v>159</v>
      </c>
      <c r="J21" s="135">
        <v>159</v>
      </c>
      <c r="K21" s="138">
        <v>159</v>
      </c>
      <c r="L21" s="141" t="s">
        <v>18</v>
      </c>
      <c r="M21" s="18" t="s">
        <v>17</v>
      </c>
      <c r="N21" s="141" t="s">
        <v>15</v>
      </c>
      <c r="O21" s="18" t="s">
        <v>406</v>
      </c>
      <c r="P21" s="87"/>
      <c r="Q21" s="87"/>
      <c r="R21" s="87"/>
      <c r="S21" s="87"/>
      <c r="T21" s="87"/>
      <c r="U21" s="8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row>
    <row r="22" spans="1:107" customFormat="1" ht="15.75" thickBot="1">
      <c r="A22" s="14" t="s">
        <v>67</v>
      </c>
      <c r="B22" s="135">
        <v>39</v>
      </c>
      <c r="C22" s="138">
        <v>39</v>
      </c>
      <c r="D22" s="135">
        <v>39</v>
      </c>
      <c r="E22" s="138">
        <v>39</v>
      </c>
      <c r="F22" s="135">
        <v>39</v>
      </c>
      <c r="G22" s="138">
        <v>39</v>
      </c>
      <c r="H22" s="135">
        <v>39</v>
      </c>
      <c r="I22" s="138">
        <v>39</v>
      </c>
      <c r="J22" s="135">
        <v>39</v>
      </c>
      <c r="K22" s="138">
        <v>39</v>
      </c>
      <c r="L22" s="141" t="s">
        <v>18</v>
      </c>
      <c r="M22" s="18" t="s">
        <v>17</v>
      </c>
      <c r="N22" s="141" t="s">
        <v>15</v>
      </c>
      <c r="O22" s="18" t="s">
        <v>406</v>
      </c>
      <c r="P22" s="87"/>
      <c r="Q22" s="87"/>
      <c r="R22" s="87"/>
      <c r="S22" s="87"/>
      <c r="T22" s="87"/>
      <c r="U22" s="8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row>
    <row r="23" spans="1:107" customFormat="1" ht="15.75" thickBot="1">
      <c r="A23" s="14" t="s">
        <v>578</v>
      </c>
      <c r="B23" s="135">
        <v>0</v>
      </c>
      <c r="C23" s="138">
        <v>25</v>
      </c>
      <c r="D23" s="135">
        <v>25</v>
      </c>
      <c r="E23" s="138">
        <v>25</v>
      </c>
      <c r="F23" s="135">
        <v>25</v>
      </c>
      <c r="G23" s="138">
        <v>25</v>
      </c>
      <c r="H23" s="135">
        <v>25</v>
      </c>
      <c r="I23" s="138">
        <v>25</v>
      </c>
      <c r="J23" s="135">
        <v>25</v>
      </c>
      <c r="K23" s="138">
        <v>25</v>
      </c>
      <c r="L23" s="141" t="s">
        <v>13</v>
      </c>
      <c r="M23" s="18" t="s">
        <v>573</v>
      </c>
      <c r="N23" s="141" t="s">
        <v>15</v>
      </c>
      <c r="O23" s="18" t="s">
        <v>406</v>
      </c>
      <c r="P23" s="87"/>
      <c r="Q23" s="87"/>
      <c r="R23" s="87"/>
      <c r="S23" s="87"/>
      <c r="T23" s="87"/>
      <c r="U23" s="8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row>
    <row r="24" spans="1:107" customFormat="1" ht="15.75" thickBot="1">
      <c r="A24" s="14" t="s">
        <v>101</v>
      </c>
      <c r="B24" s="135">
        <v>0</v>
      </c>
      <c r="C24" s="138">
        <v>126</v>
      </c>
      <c r="D24" s="135">
        <v>126</v>
      </c>
      <c r="E24" s="138">
        <v>126</v>
      </c>
      <c r="F24" s="135">
        <v>126</v>
      </c>
      <c r="G24" s="138">
        <v>126</v>
      </c>
      <c r="H24" s="135">
        <v>126</v>
      </c>
      <c r="I24" s="138">
        <v>126</v>
      </c>
      <c r="J24" s="135">
        <v>126</v>
      </c>
      <c r="K24" s="138">
        <v>126</v>
      </c>
      <c r="L24" s="141" t="s">
        <v>18</v>
      </c>
      <c r="M24" s="18" t="s">
        <v>17</v>
      </c>
      <c r="N24" s="141" t="s">
        <v>15</v>
      </c>
      <c r="O24" s="18" t="s">
        <v>406</v>
      </c>
      <c r="P24" s="87"/>
      <c r="Q24" s="87"/>
      <c r="R24" s="87"/>
      <c r="S24" s="87"/>
      <c r="T24" s="87"/>
      <c r="U24" s="8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row>
    <row r="25" spans="1:107" customFormat="1" ht="15.75" thickBot="1">
      <c r="A25" s="14" t="s">
        <v>70</v>
      </c>
      <c r="B25" s="135">
        <v>20.7</v>
      </c>
      <c r="C25" s="138">
        <v>20.7</v>
      </c>
      <c r="D25" s="135">
        <v>20.7</v>
      </c>
      <c r="E25" s="138">
        <v>20.7</v>
      </c>
      <c r="F25" s="135">
        <v>20.7</v>
      </c>
      <c r="G25" s="138">
        <v>20.7</v>
      </c>
      <c r="H25" s="135">
        <v>20.7</v>
      </c>
      <c r="I25" s="138">
        <v>20.7</v>
      </c>
      <c r="J25" s="135">
        <v>20.7</v>
      </c>
      <c r="K25" s="138">
        <v>20.7</v>
      </c>
      <c r="L25" s="141" t="s">
        <v>13</v>
      </c>
      <c r="M25" s="18" t="s">
        <v>405</v>
      </c>
      <c r="N25" s="141" t="s">
        <v>15</v>
      </c>
      <c r="O25" s="18" t="s">
        <v>406</v>
      </c>
      <c r="P25" s="87"/>
      <c r="Q25" s="87"/>
      <c r="R25" s="87"/>
      <c r="S25" s="87"/>
      <c r="T25" s="87"/>
      <c r="U25" s="8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row>
    <row r="26" spans="1:107" customFormat="1" ht="15.75" thickBot="1">
      <c r="A26" s="14" t="s">
        <v>72</v>
      </c>
      <c r="B26" s="135">
        <v>68</v>
      </c>
      <c r="C26" s="138">
        <v>68</v>
      </c>
      <c r="D26" s="135">
        <v>68</v>
      </c>
      <c r="E26" s="138">
        <v>68</v>
      </c>
      <c r="F26" s="135">
        <v>68</v>
      </c>
      <c r="G26" s="138">
        <v>68</v>
      </c>
      <c r="H26" s="135">
        <v>68</v>
      </c>
      <c r="I26" s="138">
        <v>68</v>
      </c>
      <c r="J26" s="135">
        <v>68</v>
      </c>
      <c r="K26" s="138">
        <v>68</v>
      </c>
      <c r="L26" s="141" t="s">
        <v>13</v>
      </c>
      <c r="M26" s="18" t="s">
        <v>405</v>
      </c>
      <c r="N26" s="141" t="s">
        <v>15</v>
      </c>
      <c r="O26" s="18" t="s">
        <v>406</v>
      </c>
      <c r="P26" s="87"/>
      <c r="Q26" s="87"/>
      <c r="R26" s="87"/>
      <c r="S26" s="87"/>
      <c r="T26" s="87"/>
      <c r="U26" s="8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row>
    <row r="27" spans="1:107" customFormat="1" ht="15.75" thickBot="1">
      <c r="A27" s="14" t="s">
        <v>74</v>
      </c>
      <c r="B27" s="135">
        <v>172</v>
      </c>
      <c r="C27" s="138">
        <v>172</v>
      </c>
      <c r="D27" s="135">
        <v>172</v>
      </c>
      <c r="E27" s="138">
        <v>172</v>
      </c>
      <c r="F27" s="135">
        <v>172</v>
      </c>
      <c r="G27" s="138">
        <v>172</v>
      </c>
      <c r="H27" s="135">
        <v>172</v>
      </c>
      <c r="I27" s="138">
        <v>172</v>
      </c>
      <c r="J27" s="135">
        <v>172</v>
      </c>
      <c r="K27" s="138">
        <v>172</v>
      </c>
      <c r="L27" s="141" t="s">
        <v>13</v>
      </c>
      <c r="M27" s="18" t="s">
        <v>405</v>
      </c>
      <c r="N27" s="141" t="s">
        <v>15</v>
      </c>
      <c r="O27" s="18" t="s">
        <v>406</v>
      </c>
      <c r="P27" s="87"/>
      <c r="Q27" s="87"/>
      <c r="R27" s="87"/>
      <c r="S27" s="87"/>
      <c r="T27" s="87"/>
      <c r="U27" s="8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row>
    <row r="28" spans="1:107" customFormat="1" ht="15.75" thickBot="1">
      <c r="A28" s="14" t="s">
        <v>77</v>
      </c>
      <c r="B28" s="135">
        <v>478</v>
      </c>
      <c r="C28" s="138">
        <v>478</v>
      </c>
      <c r="D28" s="135">
        <v>478</v>
      </c>
      <c r="E28" s="138">
        <v>478</v>
      </c>
      <c r="F28" s="135">
        <v>478</v>
      </c>
      <c r="G28" s="138">
        <v>478</v>
      </c>
      <c r="H28" s="135">
        <v>478</v>
      </c>
      <c r="I28" s="138">
        <v>478</v>
      </c>
      <c r="J28" s="135">
        <v>478</v>
      </c>
      <c r="K28" s="138">
        <v>478</v>
      </c>
      <c r="L28" s="141" t="s">
        <v>13</v>
      </c>
      <c r="M28" s="18" t="s">
        <v>405</v>
      </c>
      <c r="N28" s="141" t="s">
        <v>15</v>
      </c>
      <c r="O28" s="18" t="s">
        <v>406</v>
      </c>
      <c r="P28" s="87"/>
      <c r="Q28" s="87"/>
      <c r="R28" s="87"/>
      <c r="S28" s="87"/>
      <c r="T28" s="87"/>
      <c r="U28" s="8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row>
    <row r="29" spans="1:107" customFormat="1" ht="15.75" thickBot="1">
      <c r="A29" s="14" t="s">
        <v>79</v>
      </c>
      <c r="B29" s="135">
        <v>56</v>
      </c>
      <c r="C29" s="138">
        <v>56</v>
      </c>
      <c r="D29" s="135">
        <v>56</v>
      </c>
      <c r="E29" s="138">
        <v>56</v>
      </c>
      <c r="F29" s="135">
        <v>56</v>
      </c>
      <c r="G29" s="138">
        <v>56</v>
      </c>
      <c r="H29" s="135">
        <v>56</v>
      </c>
      <c r="I29" s="138">
        <v>56</v>
      </c>
      <c r="J29" s="135">
        <v>56</v>
      </c>
      <c r="K29" s="138">
        <v>56</v>
      </c>
      <c r="L29" s="141" t="s">
        <v>13</v>
      </c>
      <c r="M29" s="18" t="s">
        <v>405</v>
      </c>
      <c r="N29" s="141" t="s">
        <v>15</v>
      </c>
      <c r="O29" s="18" t="s">
        <v>406</v>
      </c>
      <c r="P29" s="87"/>
      <c r="Q29" s="87"/>
      <c r="R29" s="87"/>
      <c r="S29" s="87"/>
      <c r="T29" s="87"/>
      <c r="U29" s="8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row>
    <row r="30" spans="1:107" customFormat="1" ht="15.75" thickBot="1">
      <c r="A30" s="14" t="s">
        <v>80</v>
      </c>
      <c r="B30" s="135">
        <v>57.6</v>
      </c>
      <c r="C30" s="138">
        <v>57.6</v>
      </c>
      <c r="D30" s="135">
        <v>57.6</v>
      </c>
      <c r="E30" s="138">
        <v>57.6</v>
      </c>
      <c r="F30" s="135">
        <v>57.6</v>
      </c>
      <c r="G30" s="138">
        <v>57.6</v>
      </c>
      <c r="H30" s="135">
        <v>57.6</v>
      </c>
      <c r="I30" s="138">
        <v>57.6</v>
      </c>
      <c r="J30" s="135">
        <v>57.6</v>
      </c>
      <c r="K30" s="138">
        <v>57.6</v>
      </c>
      <c r="L30" s="141" t="s">
        <v>13</v>
      </c>
      <c r="M30" s="18" t="s">
        <v>405</v>
      </c>
      <c r="N30" s="141" t="s">
        <v>15</v>
      </c>
      <c r="O30" s="18" t="s">
        <v>406</v>
      </c>
      <c r="P30" s="87"/>
      <c r="Q30" s="87"/>
      <c r="R30" s="87"/>
      <c r="S30" s="87"/>
      <c r="T30" s="87"/>
      <c r="U30" s="8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row>
    <row r="31" spans="1:107" customFormat="1" ht="15.75" thickBot="1">
      <c r="A31" s="14" t="s">
        <v>82</v>
      </c>
      <c r="B31" s="135">
        <v>189</v>
      </c>
      <c r="C31" s="138">
        <v>189</v>
      </c>
      <c r="D31" s="135">
        <v>189</v>
      </c>
      <c r="E31" s="138">
        <v>189</v>
      </c>
      <c r="F31" s="135">
        <v>189</v>
      </c>
      <c r="G31" s="138">
        <v>189</v>
      </c>
      <c r="H31" s="135">
        <v>189</v>
      </c>
      <c r="I31" s="138">
        <v>189</v>
      </c>
      <c r="J31" s="135">
        <v>189</v>
      </c>
      <c r="K31" s="138">
        <v>189</v>
      </c>
      <c r="L31" s="141" t="s">
        <v>13</v>
      </c>
      <c r="M31" s="18" t="s">
        <v>405</v>
      </c>
      <c r="N31" s="141" t="s">
        <v>15</v>
      </c>
      <c r="O31" s="18" t="s">
        <v>406</v>
      </c>
      <c r="P31" s="87"/>
      <c r="Q31" s="87"/>
      <c r="R31" s="87"/>
      <c r="S31" s="87"/>
      <c r="T31" s="87"/>
      <c r="U31" s="8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row>
    <row r="32" spans="1:107" customFormat="1" ht="15.75" thickBot="1">
      <c r="A32" s="14" t="s">
        <v>538</v>
      </c>
      <c r="B32" s="135">
        <v>270</v>
      </c>
      <c r="C32" s="138">
        <v>270</v>
      </c>
      <c r="D32" s="135">
        <v>270</v>
      </c>
      <c r="E32" s="138">
        <v>270</v>
      </c>
      <c r="F32" s="135">
        <v>270</v>
      </c>
      <c r="G32" s="138">
        <v>270</v>
      </c>
      <c r="H32" s="135">
        <v>270</v>
      </c>
      <c r="I32" s="138">
        <v>270</v>
      </c>
      <c r="J32" s="135">
        <v>270</v>
      </c>
      <c r="K32" s="138">
        <v>270</v>
      </c>
      <c r="L32" s="141" t="s">
        <v>18</v>
      </c>
      <c r="M32" s="18" t="s">
        <v>17</v>
      </c>
      <c r="N32" s="141" t="s">
        <v>15</v>
      </c>
      <c r="O32" s="18" t="s">
        <v>406</v>
      </c>
      <c r="P32" s="87"/>
      <c r="Q32" s="87"/>
      <c r="R32" s="87"/>
      <c r="S32" s="87"/>
      <c r="T32" s="87"/>
      <c r="U32" s="8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row>
    <row r="33" spans="1:107" customFormat="1" ht="15.75" thickBot="1">
      <c r="A33" s="14" t="s">
        <v>539</v>
      </c>
      <c r="B33" s="135">
        <v>98.7</v>
      </c>
      <c r="C33" s="138">
        <v>98.7</v>
      </c>
      <c r="D33" s="135">
        <v>98.7</v>
      </c>
      <c r="E33" s="138">
        <v>98.7</v>
      </c>
      <c r="F33" s="135">
        <v>98.7</v>
      </c>
      <c r="G33" s="138">
        <v>98.7</v>
      </c>
      <c r="H33" s="135">
        <v>98.7</v>
      </c>
      <c r="I33" s="138">
        <v>98.7</v>
      </c>
      <c r="J33" s="135">
        <v>98.7</v>
      </c>
      <c r="K33" s="138">
        <v>98.7</v>
      </c>
      <c r="L33" s="141" t="s">
        <v>18</v>
      </c>
      <c r="M33" s="18" t="s">
        <v>17</v>
      </c>
      <c r="N33" s="141" t="s">
        <v>15</v>
      </c>
      <c r="O33" s="18" t="s">
        <v>406</v>
      </c>
      <c r="P33" s="87"/>
      <c r="Q33" s="87"/>
      <c r="R33" s="87"/>
      <c r="S33" s="87"/>
      <c r="T33" s="87"/>
      <c r="U33" s="8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row>
    <row r="34" spans="1:107" customFormat="1" ht="15.75" thickBot="1">
      <c r="A34" s="14" t="s">
        <v>87</v>
      </c>
      <c r="B34" s="135">
        <v>54</v>
      </c>
      <c r="C34" s="138">
        <v>54</v>
      </c>
      <c r="D34" s="135">
        <v>54</v>
      </c>
      <c r="E34" s="138">
        <v>54</v>
      </c>
      <c r="F34" s="135">
        <v>54</v>
      </c>
      <c r="G34" s="138">
        <v>54</v>
      </c>
      <c r="H34" s="135">
        <v>54</v>
      </c>
      <c r="I34" s="138">
        <v>54</v>
      </c>
      <c r="J34" s="135">
        <v>54</v>
      </c>
      <c r="K34" s="138">
        <v>54</v>
      </c>
      <c r="L34" s="141" t="s">
        <v>13</v>
      </c>
      <c r="M34" s="18" t="s">
        <v>405</v>
      </c>
      <c r="N34" s="141" t="s">
        <v>15</v>
      </c>
      <c r="O34" s="18" t="s">
        <v>406</v>
      </c>
      <c r="P34" s="87"/>
      <c r="Q34" s="87"/>
      <c r="R34" s="87"/>
      <c r="S34" s="87"/>
      <c r="T34" s="87"/>
      <c r="U34" s="8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row>
    <row r="35" spans="1:107" customFormat="1" ht="15.75" thickBot="1">
      <c r="A35" s="14" t="s">
        <v>106</v>
      </c>
      <c r="B35" s="135">
        <v>0</v>
      </c>
      <c r="C35" s="138">
        <v>95</v>
      </c>
      <c r="D35" s="135">
        <v>95</v>
      </c>
      <c r="E35" s="138">
        <v>95</v>
      </c>
      <c r="F35" s="135">
        <v>95</v>
      </c>
      <c r="G35" s="138">
        <v>95</v>
      </c>
      <c r="H35" s="135">
        <v>95</v>
      </c>
      <c r="I35" s="138">
        <v>95</v>
      </c>
      <c r="J35" s="135">
        <v>95</v>
      </c>
      <c r="K35" s="138">
        <v>95</v>
      </c>
      <c r="L35" s="141" t="s">
        <v>18</v>
      </c>
      <c r="M35" s="18" t="s">
        <v>28</v>
      </c>
      <c r="N35" s="141" t="s">
        <v>15</v>
      </c>
      <c r="O35" s="18" t="s">
        <v>406</v>
      </c>
      <c r="P35" s="87"/>
      <c r="Q35" s="87"/>
      <c r="R35" s="87"/>
      <c r="S35" s="87"/>
      <c r="T35" s="87"/>
      <c r="U35" s="8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row>
    <row r="36" spans="1:107" customFormat="1" ht="15.75" thickBot="1">
      <c r="A36" s="14" t="s">
        <v>90</v>
      </c>
      <c r="B36" s="135">
        <v>480</v>
      </c>
      <c r="C36" s="138">
        <v>240</v>
      </c>
      <c r="D36" s="135">
        <v>120</v>
      </c>
      <c r="E36" s="138">
        <v>0</v>
      </c>
      <c r="F36" s="135">
        <v>0</v>
      </c>
      <c r="G36" s="138">
        <v>0</v>
      </c>
      <c r="H36" s="135">
        <v>0</v>
      </c>
      <c r="I36" s="138">
        <v>0</v>
      </c>
      <c r="J36" s="135">
        <v>0</v>
      </c>
      <c r="K36" s="138">
        <v>0</v>
      </c>
      <c r="L36" s="141" t="s">
        <v>13</v>
      </c>
      <c r="M36" s="18" t="s">
        <v>405</v>
      </c>
      <c r="N36" s="141" t="s">
        <v>15</v>
      </c>
      <c r="O36" s="18" t="s">
        <v>406</v>
      </c>
      <c r="P36" s="87"/>
      <c r="Q36" s="87"/>
      <c r="R36" s="87"/>
      <c r="S36" s="87"/>
      <c r="T36" s="87"/>
      <c r="U36" s="8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row>
    <row r="37" spans="1:107" customFormat="1" ht="15.75" thickBot="1">
      <c r="A37" s="14" t="s">
        <v>91</v>
      </c>
      <c r="B37" s="135">
        <v>780</v>
      </c>
      <c r="C37" s="138">
        <v>780</v>
      </c>
      <c r="D37" s="135">
        <v>780</v>
      </c>
      <c r="E37" s="138">
        <v>780</v>
      </c>
      <c r="F37" s="135">
        <v>780</v>
      </c>
      <c r="G37" s="138">
        <v>780</v>
      </c>
      <c r="H37" s="135">
        <v>780</v>
      </c>
      <c r="I37" s="138">
        <v>780</v>
      </c>
      <c r="J37" s="135">
        <v>780</v>
      </c>
      <c r="K37" s="138">
        <v>780</v>
      </c>
      <c r="L37" s="141" t="s">
        <v>13</v>
      </c>
      <c r="M37" s="18" t="s">
        <v>405</v>
      </c>
      <c r="N37" s="141" t="s">
        <v>15</v>
      </c>
      <c r="O37" s="18" t="s">
        <v>406</v>
      </c>
      <c r="P37" s="87"/>
      <c r="Q37" s="87"/>
      <c r="R37" s="87"/>
      <c r="S37" s="87"/>
      <c r="T37" s="87"/>
      <c r="U37" s="8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row>
    <row r="38" spans="1:107" customFormat="1" ht="15.75" thickBot="1">
      <c r="A38" s="14" t="s">
        <v>541</v>
      </c>
      <c r="B38" s="135">
        <v>130.80000000000001</v>
      </c>
      <c r="C38" s="138">
        <v>130.80000000000001</v>
      </c>
      <c r="D38" s="135">
        <v>130.80000000000001</v>
      </c>
      <c r="E38" s="138">
        <v>130.80000000000001</v>
      </c>
      <c r="F38" s="135">
        <v>130.80000000000001</v>
      </c>
      <c r="G38" s="138">
        <v>130.80000000000001</v>
      </c>
      <c r="H38" s="135">
        <v>130.80000000000001</v>
      </c>
      <c r="I38" s="138">
        <v>130.80000000000001</v>
      </c>
      <c r="J38" s="135">
        <v>130.80000000000001</v>
      </c>
      <c r="K38" s="138">
        <v>130.80000000000001</v>
      </c>
      <c r="L38" s="141" t="s">
        <v>18</v>
      </c>
      <c r="M38" s="18" t="s">
        <v>17</v>
      </c>
      <c r="N38" s="141" t="s">
        <v>15</v>
      </c>
      <c r="O38" s="18" t="s">
        <v>406</v>
      </c>
      <c r="P38" s="87"/>
      <c r="Q38" s="87"/>
      <c r="R38" s="87"/>
      <c r="S38" s="87"/>
      <c r="T38" s="87"/>
      <c r="U38" s="8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row>
    <row r="39" spans="1:107" customFormat="1">
      <c r="A39" s="134" t="s">
        <v>574</v>
      </c>
      <c r="B39" s="137">
        <v>0</v>
      </c>
      <c r="C39" s="140">
        <v>119.4</v>
      </c>
      <c r="D39" s="137">
        <v>119.4</v>
      </c>
      <c r="E39" s="140">
        <v>119.4</v>
      </c>
      <c r="F39" s="137">
        <v>119.4</v>
      </c>
      <c r="G39" s="140">
        <v>119.4</v>
      </c>
      <c r="H39" s="137">
        <v>119.4</v>
      </c>
      <c r="I39" s="140">
        <v>119.4</v>
      </c>
      <c r="J39" s="137">
        <v>119.4</v>
      </c>
      <c r="K39" s="140">
        <v>119.4</v>
      </c>
      <c r="L39" s="143" t="s">
        <v>18</v>
      </c>
      <c r="M39" s="131" t="s">
        <v>17</v>
      </c>
      <c r="N39" s="143" t="s">
        <v>15</v>
      </c>
      <c r="O39" s="131" t="s">
        <v>406</v>
      </c>
      <c r="P39" s="87"/>
      <c r="Q39" s="87"/>
      <c r="R39" s="87"/>
      <c r="S39" s="87"/>
      <c r="T39" s="87"/>
      <c r="U39" s="8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row>
    <row r="40" spans="1:107" customFormat="1" ht="15.75" thickBot="1">
      <c r="A40" s="87"/>
      <c r="B40" s="93"/>
      <c r="C40" s="93"/>
      <c r="D40" s="93"/>
      <c r="E40" s="93"/>
      <c r="F40" s="93"/>
      <c r="G40" s="93"/>
      <c r="H40" s="93"/>
      <c r="I40" s="93"/>
      <c r="J40" s="93"/>
      <c r="K40" s="93"/>
      <c r="L40" s="87"/>
      <c r="M40" s="87"/>
      <c r="N40" s="87"/>
      <c r="O40" s="87"/>
      <c r="P40" s="87"/>
      <c r="Q40" s="87"/>
      <c r="R40" s="87"/>
      <c r="S40" s="87"/>
      <c r="T40" s="87"/>
      <c r="U40" s="8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row>
    <row r="41" spans="1:107" customFormat="1" ht="15.75" thickBot="1">
      <c r="A41" s="57" t="s">
        <v>96</v>
      </c>
      <c r="B41" s="94">
        <f>SUM(sumcapsalltable[201819])</f>
        <v>4408.5999999999995</v>
      </c>
      <c r="C41" s="94">
        <f>SUM(sumcapsalltable[201920])</f>
        <v>4743.9999999999991</v>
      </c>
      <c r="D41" s="94">
        <f>SUM(sumcapsalltable[202021])</f>
        <v>4623.9999999999991</v>
      </c>
      <c r="E41" s="94">
        <f>SUM(sumcapsalltable[202122])</f>
        <v>4503.9999999999991</v>
      </c>
      <c r="F41" s="94">
        <f>SUM(sumcapsalltable[202223])</f>
        <v>4503.9999999999991</v>
      </c>
      <c r="G41" s="94">
        <f>SUM(sumcapsalltable[202324])</f>
        <v>4503.9999999999991</v>
      </c>
      <c r="H41" s="94">
        <f>SUM(sumcapsalltable[202425])</f>
        <v>4503.9999999999991</v>
      </c>
      <c r="I41" s="94">
        <f>SUM(sumcapsalltable[202526])</f>
        <v>4503.9999999999991</v>
      </c>
      <c r="J41" s="94">
        <f>SUM(sumcapsalltable[202627])</f>
        <v>4503.9999999999991</v>
      </c>
      <c r="K41" s="94">
        <f>SUM(sumcapsalltable[202728])</f>
        <v>4503.9999999999991</v>
      </c>
      <c r="L41" s="58"/>
      <c r="M41" s="59"/>
      <c r="N41" s="60"/>
      <c r="O41" s="60"/>
      <c r="P41" s="87"/>
      <c r="Q41" s="87"/>
      <c r="R41" s="87"/>
      <c r="S41" s="87"/>
      <c r="T41" s="87"/>
      <c r="U41" s="8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row>
    <row r="42" spans="1:107">
      <c r="B42" s="64"/>
      <c r="C42" s="64"/>
      <c r="D42" s="64"/>
      <c r="E42" s="64"/>
      <c r="F42" s="64"/>
      <c r="G42" s="64"/>
      <c r="H42" s="64"/>
      <c r="I42" s="64"/>
      <c r="J42" s="64"/>
      <c r="K42" s="64"/>
      <c r="M42" s="60"/>
      <c r="N42" s="61"/>
      <c r="O42" s="60"/>
    </row>
    <row r="43" spans="1:107" s="53" customFormat="1">
      <c r="A43" s="175" t="s">
        <v>409</v>
      </c>
      <c r="B43" s="175"/>
      <c r="C43" s="175"/>
      <c r="D43" s="175"/>
      <c r="E43" s="175"/>
      <c r="F43" s="175"/>
      <c r="G43" s="175"/>
      <c r="H43" s="175"/>
      <c r="I43" s="175"/>
      <c r="J43" s="175"/>
      <c r="K43" s="175"/>
      <c r="L43" s="175"/>
      <c r="M43" s="60"/>
      <c r="N43" s="61"/>
      <c r="O43" s="60"/>
      <c r="P43" s="60"/>
      <c r="Q43" s="60"/>
      <c r="R43" s="60"/>
      <c r="S43" s="60"/>
      <c r="T43" s="60"/>
      <c r="U43" s="60"/>
      <c r="V43" s="60"/>
      <c r="W43" s="60"/>
      <c r="X43" s="60"/>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row>
    <row r="44" spans="1:107" ht="34.5" customHeight="1">
      <c r="A44" s="175" t="s">
        <v>410</v>
      </c>
      <c r="B44" s="175"/>
      <c r="C44" s="175"/>
      <c r="D44" s="175"/>
      <c r="E44" s="175"/>
      <c r="F44" s="175"/>
      <c r="G44" s="175"/>
      <c r="H44" s="175"/>
      <c r="I44" s="175"/>
      <c r="J44" s="175"/>
      <c r="K44" s="175"/>
      <c r="L44" s="175"/>
      <c r="M44" s="60"/>
      <c r="N44" s="115"/>
      <c r="O44" s="115"/>
      <c r="P44" s="60"/>
      <c r="Q44" s="60"/>
      <c r="R44" s="60"/>
      <c r="S44" s="60"/>
      <c r="T44" s="60"/>
      <c r="U44" s="60"/>
      <c r="V44" s="60"/>
      <c r="W44" s="60"/>
      <c r="X44" s="60"/>
    </row>
    <row r="45" spans="1:107" ht="43.5" customHeight="1">
      <c r="A45" s="175" t="s">
        <v>411</v>
      </c>
      <c r="B45" s="175"/>
      <c r="C45" s="175"/>
      <c r="D45" s="175"/>
      <c r="E45" s="175"/>
      <c r="F45" s="175"/>
      <c r="G45" s="175"/>
      <c r="H45" s="175"/>
      <c r="I45" s="175"/>
      <c r="J45" s="175"/>
      <c r="K45" s="175"/>
      <c r="L45" s="175"/>
      <c r="M45" s="60"/>
      <c r="N45" s="115"/>
      <c r="O45" s="115"/>
      <c r="P45" s="60"/>
      <c r="Q45" s="60"/>
      <c r="R45" s="60"/>
      <c r="S45" s="60"/>
      <c r="T45" s="60"/>
      <c r="U45" s="60"/>
      <c r="V45" s="60"/>
      <c r="W45" s="60"/>
      <c r="X45" s="60"/>
    </row>
    <row r="46" spans="1:107" ht="42.75" customHeight="1">
      <c r="A46" s="175" t="s">
        <v>412</v>
      </c>
      <c r="B46" s="175"/>
      <c r="C46" s="175"/>
      <c r="D46" s="175"/>
      <c r="E46" s="175"/>
      <c r="F46" s="175"/>
      <c r="G46" s="175"/>
      <c r="H46" s="175"/>
      <c r="I46" s="175"/>
      <c r="J46" s="175"/>
      <c r="K46" s="175"/>
      <c r="L46" s="175"/>
      <c r="M46" s="60"/>
      <c r="N46" s="60"/>
      <c r="O46" s="60"/>
      <c r="P46" s="115"/>
      <c r="Q46" s="115"/>
      <c r="R46" s="115"/>
      <c r="S46" s="115"/>
      <c r="T46" s="115"/>
      <c r="U46" s="115"/>
      <c r="V46" s="60"/>
      <c r="W46" s="60"/>
      <c r="X46" s="60"/>
    </row>
    <row r="47" spans="1:107" ht="63" customHeight="1" thickBot="1">
      <c r="M47" s="60"/>
      <c r="N47" s="60"/>
      <c r="O47" s="60"/>
      <c r="P47" s="115"/>
      <c r="Q47" s="115"/>
      <c r="R47" s="115"/>
      <c r="S47" s="115"/>
      <c r="T47" s="115"/>
      <c r="U47" s="115"/>
      <c r="V47" s="60"/>
      <c r="W47" s="60"/>
      <c r="X47" s="60"/>
    </row>
    <row r="48" spans="1:107" ht="20.25" thickBot="1">
      <c r="A48" s="63" t="s">
        <v>413</v>
      </c>
      <c r="M48" s="60"/>
      <c r="N48" s="60"/>
      <c r="O48" s="60"/>
      <c r="P48" s="60"/>
      <c r="Q48" s="60"/>
      <c r="R48" s="60"/>
      <c r="S48" s="60"/>
      <c r="T48" s="60"/>
      <c r="U48" s="60"/>
      <c r="V48" s="60"/>
      <c r="W48" s="60"/>
      <c r="X48" s="60"/>
    </row>
    <row r="49" spans="1:107" ht="15.75" thickBot="1">
      <c r="A49" s="118" t="s">
        <v>402</v>
      </c>
      <c r="B49" s="118" t="s">
        <v>555</v>
      </c>
      <c r="C49" s="118" t="s">
        <v>556</v>
      </c>
      <c r="D49" s="118" t="s">
        <v>557</v>
      </c>
      <c r="E49" s="118" t="s">
        <v>558</v>
      </c>
      <c r="F49" s="118" t="s">
        <v>559</v>
      </c>
      <c r="G49" s="118" t="s">
        <v>560</v>
      </c>
      <c r="H49" s="118" t="s">
        <v>561</v>
      </c>
      <c r="I49" s="118" t="s">
        <v>562</v>
      </c>
      <c r="J49" s="118" t="s">
        <v>563</v>
      </c>
      <c r="K49" s="118" t="s">
        <v>564</v>
      </c>
      <c r="L49" s="118" t="s">
        <v>467</v>
      </c>
      <c r="M49" s="62" t="s">
        <v>403</v>
      </c>
      <c r="N49" s="62" t="s">
        <v>7</v>
      </c>
      <c r="O49" s="62" t="s">
        <v>404</v>
      </c>
      <c r="P49" s="60"/>
      <c r="Q49" s="60"/>
      <c r="R49" s="60"/>
      <c r="S49" s="60"/>
      <c r="T49" s="60"/>
      <c r="U49" s="60"/>
      <c r="V49" s="60"/>
      <c r="W49" s="60"/>
      <c r="X49" s="60"/>
    </row>
    <row r="50" spans="1:107" ht="15.75" thickBot="1">
      <c r="A50" s="15" t="s">
        <v>8</v>
      </c>
      <c r="B50" s="136">
        <v>50</v>
      </c>
      <c r="C50" s="139">
        <v>50</v>
      </c>
      <c r="D50" s="136">
        <v>50</v>
      </c>
      <c r="E50" s="139">
        <v>50</v>
      </c>
      <c r="F50" s="136">
        <v>50</v>
      </c>
      <c r="G50" s="139">
        <v>50</v>
      </c>
      <c r="H50" s="136">
        <v>50</v>
      </c>
      <c r="I50" s="139">
        <v>50</v>
      </c>
      <c r="J50" s="136">
        <v>50</v>
      </c>
      <c r="K50" s="139">
        <v>50</v>
      </c>
      <c r="L50" s="142" t="s">
        <v>13</v>
      </c>
      <c r="M50" s="19" t="s">
        <v>405</v>
      </c>
      <c r="N50" s="142" t="s">
        <v>15</v>
      </c>
      <c r="O50" s="19" t="s">
        <v>406</v>
      </c>
      <c r="P50" s="60"/>
      <c r="Q50" s="60"/>
      <c r="R50" s="60"/>
      <c r="S50" s="60"/>
      <c r="T50" s="60"/>
      <c r="U50" s="60"/>
      <c r="V50" s="60"/>
      <c r="W50" s="60"/>
      <c r="X50" s="60"/>
    </row>
    <row r="51" spans="1:107" customFormat="1" ht="15.75" thickBot="1">
      <c r="A51" s="14" t="s">
        <v>98</v>
      </c>
      <c r="B51" s="135">
        <v>0</v>
      </c>
      <c r="C51" s="138">
        <v>210</v>
      </c>
      <c r="D51" s="135">
        <v>210</v>
      </c>
      <c r="E51" s="138">
        <v>210</v>
      </c>
      <c r="F51" s="135">
        <v>210</v>
      </c>
      <c r="G51" s="138">
        <v>210</v>
      </c>
      <c r="H51" s="135">
        <v>210</v>
      </c>
      <c r="I51" s="138">
        <v>210</v>
      </c>
      <c r="J51" s="135">
        <v>210</v>
      </c>
      <c r="K51" s="138">
        <v>210</v>
      </c>
      <c r="L51" s="141" t="s">
        <v>13</v>
      </c>
      <c r="M51" s="18" t="s">
        <v>405</v>
      </c>
      <c r="N51" s="141" t="s">
        <v>15</v>
      </c>
      <c r="O51" s="18" t="s">
        <v>406</v>
      </c>
      <c r="P51" s="87"/>
      <c r="Q51" s="87"/>
      <c r="R51" s="87"/>
      <c r="S51" s="87"/>
      <c r="T51" s="87"/>
      <c r="U51" s="8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row>
    <row r="52" spans="1:107" customFormat="1" ht="15.75" thickBot="1">
      <c r="A52" s="14" t="s">
        <v>34</v>
      </c>
      <c r="B52" s="135">
        <v>112</v>
      </c>
      <c r="C52" s="138">
        <v>112</v>
      </c>
      <c r="D52" s="135">
        <v>112</v>
      </c>
      <c r="E52" s="138">
        <v>112</v>
      </c>
      <c r="F52" s="135">
        <v>112</v>
      </c>
      <c r="G52" s="138">
        <v>112</v>
      </c>
      <c r="H52" s="135">
        <v>112</v>
      </c>
      <c r="I52" s="138">
        <v>112</v>
      </c>
      <c r="J52" s="135">
        <v>112</v>
      </c>
      <c r="K52" s="138">
        <v>112</v>
      </c>
      <c r="L52" s="141" t="s">
        <v>13</v>
      </c>
      <c r="M52" s="18" t="s">
        <v>405</v>
      </c>
      <c r="N52" s="141" t="s">
        <v>15</v>
      </c>
      <c r="O52" s="18" t="s">
        <v>406</v>
      </c>
      <c r="P52" s="87"/>
      <c r="Q52" s="87"/>
      <c r="R52" s="87"/>
      <c r="S52" s="87"/>
      <c r="T52" s="87"/>
      <c r="U52" s="8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row>
    <row r="53" spans="1:107" customFormat="1" ht="15.75" thickBot="1">
      <c r="A53" s="14" t="s">
        <v>209</v>
      </c>
      <c r="B53" s="135">
        <v>30</v>
      </c>
      <c r="C53" s="138">
        <v>30</v>
      </c>
      <c r="D53" s="135">
        <v>30</v>
      </c>
      <c r="E53" s="138">
        <v>30</v>
      </c>
      <c r="F53" s="135">
        <v>30</v>
      </c>
      <c r="G53" s="138">
        <v>30</v>
      </c>
      <c r="H53" s="135">
        <v>30</v>
      </c>
      <c r="I53" s="138">
        <v>30</v>
      </c>
      <c r="J53" s="135">
        <v>30</v>
      </c>
      <c r="K53" s="138">
        <v>30</v>
      </c>
      <c r="L53" s="141" t="s">
        <v>13</v>
      </c>
      <c r="M53" s="18" t="s">
        <v>570</v>
      </c>
      <c r="N53" s="141" t="s">
        <v>15</v>
      </c>
      <c r="O53" s="18" t="s">
        <v>406</v>
      </c>
      <c r="P53" s="87"/>
      <c r="Q53" s="87"/>
      <c r="R53" s="87"/>
      <c r="S53" s="87"/>
      <c r="T53" s="87"/>
      <c r="U53" s="8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row>
    <row r="54" spans="1:107" customFormat="1" ht="15.75" thickBot="1">
      <c r="A54" s="14" t="s">
        <v>43</v>
      </c>
      <c r="B54" s="135">
        <v>193</v>
      </c>
      <c r="C54" s="138">
        <v>193</v>
      </c>
      <c r="D54" s="135">
        <v>193</v>
      </c>
      <c r="E54" s="138">
        <v>193</v>
      </c>
      <c r="F54" s="135">
        <v>193</v>
      </c>
      <c r="G54" s="138">
        <v>193</v>
      </c>
      <c r="H54" s="135">
        <v>193</v>
      </c>
      <c r="I54" s="138">
        <v>193</v>
      </c>
      <c r="J54" s="135">
        <v>193</v>
      </c>
      <c r="K54" s="138">
        <v>193</v>
      </c>
      <c r="L54" s="141" t="s">
        <v>13</v>
      </c>
      <c r="M54" s="18" t="s">
        <v>405</v>
      </c>
      <c r="N54" s="141" t="s">
        <v>15</v>
      </c>
      <c r="O54" s="18" t="s">
        <v>406</v>
      </c>
      <c r="P54" s="87"/>
      <c r="Q54" s="87"/>
      <c r="R54" s="87"/>
      <c r="S54" s="87"/>
      <c r="T54" s="87"/>
      <c r="U54" s="8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row>
    <row r="55" spans="1:107" customFormat="1" ht="15.75" thickBot="1">
      <c r="A55" s="14" t="s">
        <v>408</v>
      </c>
      <c r="B55" s="135">
        <v>0</v>
      </c>
      <c r="C55" s="138">
        <v>0</v>
      </c>
      <c r="D55" s="135">
        <v>0</v>
      </c>
      <c r="E55" s="138">
        <v>0</v>
      </c>
      <c r="F55" s="135">
        <v>0</v>
      </c>
      <c r="G55" s="138">
        <v>0</v>
      </c>
      <c r="H55" s="135">
        <v>0</v>
      </c>
      <c r="I55" s="138">
        <v>0</v>
      </c>
      <c r="J55" s="135">
        <v>0</v>
      </c>
      <c r="K55" s="138">
        <v>0</v>
      </c>
      <c r="L55" s="141" t="s">
        <v>13</v>
      </c>
      <c r="M55" s="18" t="s">
        <v>405</v>
      </c>
      <c r="N55" s="141" t="s">
        <v>15</v>
      </c>
      <c r="O55" s="18" t="s">
        <v>406</v>
      </c>
      <c r="P55" s="87"/>
      <c r="Q55" s="87"/>
      <c r="R55" s="87"/>
      <c r="S55" s="87"/>
      <c r="T55" s="87"/>
      <c r="U55" s="8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row>
    <row r="56" spans="1:107" customFormat="1" ht="15.75" thickBot="1">
      <c r="A56" s="14" t="s">
        <v>52</v>
      </c>
      <c r="B56" s="135">
        <v>100</v>
      </c>
      <c r="C56" s="138">
        <v>100</v>
      </c>
      <c r="D56" s="135">
        <v>100</v>
      </c>
      <c r="E56" s="138">
        <v>100</v>
      </c>
      <c r="F56" s="135">
        <v>100</v>
      </c>
      <c r="G56" s="138">
        <v>100</v>
      </c>
      <c r="H56" s="135">
        <v>100</v>
      </c>
      <c r="I56" s="138">
        <v>100</v>
      </c>
      <c r="J56" s="135">
        <v>100</v>
      </c>
      <c r="K56" s="138">
        <v>100</v>
      </c>
      <c r="L56" s="141" t="s">
        <v>13</v>
      </c>
      <c r="M56" s="18" t="s">
        <v>570</v>
      </c>
      <c r="N56" s="141" t="s">
        <v>15</v>
      </c>
      <c r="O56" s="18" t="s">
        <v>406</v>
      </c>
      <c r="P56" s="87"/>
      <c r="Q56" s="87"/>
      <c r="R56" s="87"/>
      <c r="S56" s="87"/>
      <c r="T56" s="87"/>
      <c r="U56" s="8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row>
    <row r="57" spans="1:107" customFormat="1" ht="15.75" thickBot="1">
      <c r="A57" s="14" t="s">
        <v>62</v>
      </c>
      <c r="B57" s="135">
        <v>68</v>
      </c>
      <c r="C57" s="138">
        <v>68</v>
      </c>
      <c r="D57" s="135">
        <v>68</v>
      </c>
      <c r="E57" s="138">
        <v>68</v>
      </c>
      <c r="F57" s="135">
        <v>68</v>
      </c>
      <c r="G57" s="138">
        <v>68</v>
      </c>
      <c r="H57" s="135">
        <v>68</v>
      </c>
      <c r="I57" s="138">
        <v>68</v>
      </c>
      <c r="J57" s="135">
        <v>68</v>
      </c>
      <c r="K57" s="138">
        <v>68</v>
      </c>
      <c r="L57" s="141" t="s">
        <v>13</v>
      </c>
      <c r="M57" s="18" t="s">
        <v>405</v>
      </c>
      <c r="N57" s="141" t="s">
        <v>15</v>
      </c>
      <c r="O57" s="18" t="s">
        <v>406</v>
      </c>
      <c r="P57" s="87"/>
      <c r="Q57" s="87"/>
      <c r="R57" s="87"/>
      <c r="S57" s="87"/>
      <c r="T57" s="87"/>
      <c r="U57" s="8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row>
    <row r="58" spans="1:107" customFormat="1" ht="15.75" thickBot="1">
      <c r="A58" s="14" t="s">
        <v>578</v>
      </c>
      <c r="B58" s="135">
        <v>0</v>
      </c>
      <c r="C58" s="138">
        <v>25</v>
      </c>
      <c r="D58" s="135">
        <v>25</v>
      </c>
      <c r="E58" s="138">
        <v>25</v>
      </c>
      <c r="F58" s="135">
        <v>25</v>
      </c>
      <c r="G58" s="138">
        <v>25</v>
      </c>
      <c r="H58" s="135">
        <v>25</v>
      </c>
      <c r="I58" s="138">
        <v>25</v>
      </c>
      <c r="J58" s="135">
        <v>25</v>
      </c>
      <c r="K58" s="138">
        <v>25</v>
      </c>
      <c r="L58" s="141" t="s">
        <v>13</v>
      </c>
      <c r="M58" s="18" t="s">
        <v>573</v>
      </c>
      <c r="N58" s="141" t="s">
        <v>15</v>
      </c>
      <c r="O58" s="18" t="s">
        <v>406</v>
      </c>
      <c r="P58" s="87"/>
      <c r="Q58" s="87"/>
      <c r="R58" s="87"/>
      <c r="S58" s="87"/>
      <c r="T58" s="87"/>
      <c r="U58" s="8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row>
    <row r="59" spans="1:107" customFormat="1" ht="15.75" thickBot="1">
      <c r="A59" s="14" t="s">
        <v>70</v>
      </c>
      <c r="B59" s="135">
        <v>20.7</v>
      </c>
      <c r="C59" s="138">
        <v>20.7</v>
      </c>
      <c r="D59" s="135">
        <v>20.7</v>
      </c>
      <c r="E59" s="138">
        <v>20.7</v>
      </c>
      <c r="F59" s="135">
        <v>20.7</v>
      </c>
      <c r="G59" s="138">
        <v>20.7</v>
      </c>
      <c r="H59" s="135">
        <v>20.7</v>
      </c>
      <c r="I59" s="138">
        <v>20.7</v>
      </c>
      <c r="J59" s="135">
        <v>20.7</v>
      </c>
      <c r="K59" s="138">
        <v>20.7</v>
      </c>
      <c r="L59" s="141" t="s">
        <v>13</v>
      </c>
      <c r="M59" s="18" t="s">
        <v>405</v>
      </c>
      <c r="N59" s="141" t="s">
        <v>15</v>
      </c>
      <c r="O59" s="18" t="s">
        <v>406</v>
      </c>
      <c r="P59" s="87"/>
      <c r="Q59" s="87"/>
      <c r="R59" s="87"/>
      <c r="S59" s="87"/>
      <c r="T59" s="87"/>
      <c r="U59" s="8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row>
    <row r="60" spans="1:107" customFormat="1" ht="15.75" thickBot="1">
      <c r="A60" s="14" t="s">
        <v>72</v>
      </c>
      <c r="B60" s="135">
        <v>68</v>
      </c>
      <c r="C60" s="138">
        <v>68</v>
      </c>
      <c r="D60" s="135">
        <v>68</v>
      </c>
      <c r="E60" s="138">
        <v>68</v>
      </c>
      <c r="F60" s="135">
        <v>68</v>
      </c>
      <c r="G60" s="138">
        <v>68</v>
      </c>
      <c r="H60" s="135">
        <v>68</v>
      </c>
      <c r="I60" s="138">
        <v>68</v>
      </c>
      <c r="J60" s="135">
        <v>68</v>
      </c>
      <c r="K60" s="138">
        <v>68</v>
      </c>
      <c r="L60" s="141" t="s">
        <v>13</v>
      </c>
      <c r="M60" s="18" t="s">
        <v>405</v>
      </c>
      <c r="N60" s="141" t="s">
        <v>15</v>
      </c>
      <c r="O60" s="18" t="s">
        <v>406</v>
      </c>
      <c r="P60" s="87"/>
      <c r="Q60" s="87"/>
      <c r="R60" s="87"/>
      <c r="S60" s="87"/>
      <c r="T60" s="87"/>
      <c r="U60" s="8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row>
    <row r="61" spans="1:107" customFormat="1" ht="15.75" thickBot="1">
      <c r="A61" s="14" t="s">
        <v>74</v>
      </c>
      <c r="B61" s="135">
        <v>172</v>
      </c>
      <c r="C61" s="138">
        <v>172</v>
      </c>
      <c r="D61" s="135">
        <v>172</v>
      </c>
      <c r="E61" s="138">
        <v>172</v>
      </c>
      <c r="F61" s="135">
        <v>172</v>
      </c>
      <c r="G61" s="138">
        <v>172</v>
      </c>
      <c r="H61" s="135">
        <v>172</v>
      </c>
      <c r="I61" s="138">
        <v>172</v>
      </c>
      <c r="J61" s="135">
        <v>172</v>
      </c>
      <c r="K61" s="138">
        <v>172</v>
      </c>
      <c r="L61" s="141" t="s">
        <v>13</v>
      </c>
      <c r="M61" s="18" t="s">
        <v>405</v>
      </c>
      <c r="N61" s="141" t="s">
        <v>15</v>
      </c>
      <c r="O61" s="18" t="s">
        <v>406</v>
      </c>
      <c r="P61" s="87"/>
      <c r="Q61" s="87"/>
      <c r="R61" s="87"/>
      <c r="S61" s="87"/>
      <c r="T61" s="87"/>
      <c r="U61" s="8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row>
    <row r="62" spans="1:107" customFormat="1" ht="15.75" thickBot="1">
      <c r="A62" s="14" t="s">
        <v>77</v>
      </c>
      <c r="B62" s="135">
        <v>478</v>
      </c>
      <c r="C62" s="138">
        <v>478</v>
      </c>
      <c r="D62" s="135">
        <v>478</v>
      </c>
      <c r="E62" s="138">
        <v>478</v>
      </c>
      <c r="F62" s="135">
        <v>478</v>
      </c>
      <c r="G62" s="138">
        <v>478</v>
      </c>
      <c r="H62" s="135">
        <v>478</v>
      </c>
      <c r="I62" s="138">
        <v>478</v>
      </c>
      <c r="J62" s="135">
        <v>478</v>
      </c>
      <c r="K62" s="138">
        <v>478</v>
      </c>
      <c r="L62" s="141" t="s">
        <v>13</v>
      </c>
      <c r="M62" s="18" t="s">
        <v>405</v>
      </c>
      <c r="N62" s="141" t="s">
        <v>15</v>
      </c>
      <c r="O62" s="18" t="s">
        <v>406</v>
      </c>
      <c r="P62" s="87"/>
      <c r="Q62" s="87"/>
      <c r="R62" s="87"/>
      <c r="S62" s="87"/>
      <c r="T62" s="87"/>
      <c r="U62" s="8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row>
    <row r="63" spans="1:107" customFormat="1" ht="15.75" thickBot="1">
      <c r="A63" s="14" t="s">
        <v>79</v>
      </c>
      <c r="B63" s="135">
        <v>56</v>
      </c>
      <c r="C63" s="138">
        <v>56</v>
      </c>
      <c r="D63" s="135">
        <v>56</v>
      </c>
      <c r="E63" s="138">
        <v>56</v>
      </c>
      <c r="F63" s="135">
        <v>56</v>
      </c>
      <c r="G63" s="138">
        <v>56</v>
      </c>
      <c r="H63" s="135">
        <v>56</v>
      </c>
      <c r="I63" s="138">
        <v>56</v>
      </c>
      <c r="J63" s="135">
        <v>56</v>
      </c>
      <c r="K63" s="138">
        <v>56</v>
      </c>
      <c r="L63" s="141" t="s">
        <v>13</v>
      </c>
      <c r="M63" s="18" t="s">
        <v>405</v>
      </c>
      <c r="N63" s="141" t="s">
        <v>15</v>
      </c>
      <c r="O63" s="18" t="s">
        <v>406</v>
      </c>
      <c r="P63" s="87"/>
      <c r="Q63" s="87"/>
      <c r="R63" s="87"/>
      <c r="S63" s="87"/>
      <c r="T63" s="87"/>
      <c r="U63" s="8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row>
    <row r="64" spans="1:107" customFormat="1" ht="15.75" thickBot="1">
      <c r="A64" s="14" t="s">
        <v>80</v>
      </c>
      <c r="B64" s="135">
        <v>57.6</v>
      </c>
      <c r="C64" s="138">
        <v>57.6</v>
      </c>
      <c r="D64" s="135">
        <v>57.6</v>
      </c>
      <c r="E64" s="138">
        <v>57.6</v>
      </c>
      <c r="F64" s="135">
        <v>57.6</v>
      </c>
      <c r="G64" s="138">
        <v>57.6</v>
      </c>
      <c r="H64" s="135">
        <v>57.6</v>
      </c>
      <c r="I64" s="138">
        <v>57.6</v>
      </c>
      <c r="J64" s="135">
        <v>57.6</v>
      </c>
      <c r="K64" s="138">
        <v>57.6</v>
      </c>
      <c r="L64" s="141" t="s">
        <v>13</v>
      </c>
      <c r="M64" s="18" t="s">
        <v>405</v>
      </c>
      <c r="N64" s="141" t="s">
        <v>15</v>
      </c>
      <c r="O64" s="18" t="s">
        <v>406</v>
      </c>
      <c r="P64" s="87"/>
      <c r="Q64" s="87"/>
      <c r="R64" s="87"/>
      <c r="S64" s="87"/>
      <c r="T64" s="87"/>
      <c r="U64" s="8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row>
    <row r="65" spans="1:107" customFormat="1" ht="15.75" thickBot="1">
      <c r="A65" s="14" t="s">
        <v>82</v>
      </c>
      <c r="B65" s="135">
        <v>189</v>
      </c>
      <c r="C65" s="138">
        <v>189</v>
      </c>
      <c r="D65" s="135">
        <v>189</v>
      </c>
      <c r="E65" s="138">
        <v>189</v>
      </c>
      <c r="F65" s="135">
        <v>189</v>
      </c>
      <c r="G65" s="138">
        <v>189</v>
      </c>
      <c r="H65" s="135">
        <v>189</v>
      </c>
      <c r="I65" s="138">
        <v>189</v>
      </c>
      <c r="J65" s="135">
        <v>189</v>
      </c>
      <c r="K65" s="138">
        <v>189</v>
      </c>
      <c r="L65" s="141" t="s">
        <v>13</v>
      </c>
      <c r="M65" s="18" t="s">
        <v>405</v>
      </c>
      <c r="N65" s="141" t="s">
        <v>15</v>
      </c>
      <c r="O65" s="18" t="s">
        <v>406</v>
      </c>
      <c r="P65" s="87"/>
      <c r="Q65" s="87"/>
      <c r="R65" s="87"/>
      <c r="S65" s="87"/>
      <c r="T65" s="87"/>
      <c r="U65" s="8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row>
    <row r="66" spans="1:107" customFormat="1" ht="15.75" thickBot="1">
      <c r="A66" s="14" t="s">
        <v>87</v>
      </c>
      <c r="B66" s="135">
        <v>54</v>
      </c>
      <c r="C66" s="138">
        <v>54</v>
      </c>
      <c r="D66" s="135">
        <v>54</v>
      </c>
      <c r="E66" s="138">
        <v>54</v>
      </c>
      <c r="F66" s="135">
        <v>54</v>
      </c>
      <c r="G66" s="138">
        <v>54</v>
      </c>
      <c r="H66" s="135">
        <v>54</v>
      </c>
      <c r="I66" s="138">
        <v>54</v>
      </c>
      <c r="J66" s="135">
        <v>54</v>
      </c>
      <c r="K66" s="138">
        <v>54</v>
      </c>
      <c r="L66" s="141" t="s">
        <v>13</v>
      </c>
      <c r="M66" s="18" t="s">
        <v>405</v>
      </c>
      <c r="N66" s="141" t="s">
        <v>15</v>
      </c>
      <c r="O66" s="18" t="s">
        <v>406</v>
      </c>
      <c r="P66" s="87"/>
      <c r="Q66" s="87"/>
      <c r="R66" s="87"/>
      <c r="S66" s="87"/>
      <c r="T66" s="87"/>
      <c r="U66" s="8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row>
    <row r="67" spans="1:107" customFormat="1" ht="15.75" thickBot="1">
      <c r="A67" s="14" t="s">
        <v>90</v>
      </c>
      <c r="B67" s="135">
        <v>480</v>
      </c>
      <c r="C67" s="138">
        <v>240</v>
      </c>
      <c r="D67" s="135">
        <v>120</v>
      </c>
      <c r="E67" s="138">
        <v>0</v>
      </c>
      <c r="F67" s="135">
        <v>0</v>
      </c>
      <c r="G67" s="138">
        <v>0</v>
      </c>
      <c r="H67" s="135">
        <v>0</v>
      </c>
      <c r="I67" s="138">
        <v>0</v>
      </c>
      <c r="J67" s="135">
        <v>0</v>
      </c>
      <c r="K67" s="138">
        <v>0</v>
      </c>
      <c r="L67" s="141" t="s">
        <v>13</v>
      </c>
      <c r="M67" s="18" t="s">
        <v>405</v>
      </c>
      <c r="N67" s="141" t="s">
        <v>15</v>
      </c>
      <c r="O67" s="18" t="s">
        <v>406</v>
      </c>
      <c r="P67" s="87"/>
      <c r="Q67" s="87"/>
      <c r="R67" s="87"/>
      <c r="S67" s="87"/>
      <c r="T67" s="87"/>
      <c r="U67" s="8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row>
    <row r="68" spans="1:107" customFormat="1">
      <c r="A68" s="134" t="s">
        <v>91</v>
      </c>
      <c r="B68" s="137">
        <v>780</v>
      </c>
      <c r="C68" s="140">
        <v>780</v>
      </c>
      <c r="D68" s="137">
        <v>780</v>
      </c>
      <c r="E68" s="140">
        <v>780</v>
      </c>
      <c r="F68" s="137">
        <v>780</v>
      </c>
      <c r="G68" s="140">
        <v>780</v>
      </c>
      <c r="H68" s="137">
        <v>780</v>
      </c>
      <c r="I68" s="140">
        <v>780</v>
      </c>
      <c r="J68" s="137">
        <v>780</v>
      </c>
      <c r="K68" s="140">
        <v>780</v>
      </c>
      <c r="L68" s="143" t="s">
        <v>13</v>
      </c>
      <c r="M68" s="131" t="s">
        <v>405</v>
      </c>
      <c r="N68" s="143" t="s">
        <v>15</v>
      </c>
      <c r="O68" s="131" t="s">
        <v>406</v>
      </c>
      <c r="P68" s="87"/>
      <c r="Q68" s="87"/>
      <c r="R68" s="87"/>
      <c r="S68" s="87"/>
      <c r="T68" s="87"/>
      <c r="U68" s="8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row>
    <row r="69" spans="1:107" customFormat="1" ht="15.75" thickBot="1">
      <c r="A69" s="87"/>
      <c r="B69" s="93"/>
      <c r="C69" s="93"/>
      <c r="D69" s="93"/>
      <c r="E69" s="93"/>
      <c r="F69" s="93"/>
      <c r="G69" s="93"/>
      <c r="H69" s="93"/>
      <c r="I69" s="93"/>
      <c r="J69" s="93"/>
      <c r="K69" s="93"/>
      <c r="L69" s="87"/>
      <c r="M69" s="87"/>
      <c r="N69" s="87"/>
      <c r="O69" s="87"/>
      <c r="P69" s="87"/>
      <c r="Q69" s="87"/>
      <c r="R69" s="87"/>
      <c r="S69" s="87"/>
      <c r="T69" s="87"/>
      <c r="U69" s="8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row>
    <row r="70" spans="1:107" customFormat="1" ht="15.75" thickBot="1">
      <c r="A70" s="3" t="s">
        <v>414</v>
      </c>
      <c r="B70" s="94">
        <f>SUMIF(sumcapsSStable[[FuelType]:[FuelType]],"Wind",sumcapsSStable[201819]) * 0.094</f>
        <v>120.34819999999999</v>
      </c>
      <c r="C70" s="94">
        <f>SUMIF(sumcapsSStable[[FuelType]:[FuelType]],"Wind",sumcapsSStable[201920]) * 0.094</f>
        <v>143.41580000000002</v>
      </c>
      <c r="D70" s="94">
        <f>SUMIF(sumcapsSStable[[FuelType]:[FuelType]],"Wind",sumcapsSStable[202021]) * 0.094</f>
        <v>143.41580000000002</v>
      </c>
      <c r="E70" s="94">
        <f>SUMIF(sumcapsSStable[[FuelType]:[FuelType]],"Wind",sumcapsSStable[202122]) * 0.094</f>
        <v>143.41580000000002</v>
      </c>
      <c r="F70" s="94">
        <f>SUMIF(sumcapsSStable[[FuelType]:[FuelType]],"Wind",sumcapsSStable[202223]) * 0.094</f>
        <v>143.41580000000002</v>
      </c>
      <c r="G70" s="94">
        <f>SUMIF(sumcapsSStable[[FuelType]:[FuelType]],"Wind",sumcapsSStable[202324]) * 0.094</f>
        <v>143.41580000000002</v>
      </c>
      <c r="H70" s="94">
        <f>SUMIF(sumcapsSStable[[FuelType]:[FuelType]],"Wind",sumcapsSStable[202425]) * 0.094</f>
        <v>143.41580000000002</v>
      </c>
      <c r="I70" s="94">
        <f>SUMIF(sumcapsSStable[[FuelType]:[FuelType]],"Wind",sumcapsSStable[202526]) * 0.094</f>
        <v>143.41580000000002</v>
      </c>
      <c r="J70" s="94">
        <f>SUMIF(sumcapsSStable[[FuelType]:[FuelType]],"Wind",sumcapsSStable[202627]) * 0.094</f>
        <v>143.41580000000002</v>
      </c>
      <c r="K70" s="94">
        <f>SUMIF(sumcapsSStable[[FuelType]:[FuelType]],"Wind",sumcapsSStable[202728]) * 0.094</f>
        <v>143.41580000000002</v>
      </c>
      <c r="L70" s="55" t="s">
        <v>18</v>
      </c>
      <c r="M70" s="60"/>
      <c r="N70" s="59"/>
      <c r="O70" s="60"/>
      <c r="P70" s="87"/>
      <c r="Q70" s="87"/>
      <c r="R70" s="87"/>
      <c r="S70" s="87"/>
      <c r="T70" s="87"/>
      <c r="U70" s="8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row>
    <row r="71" spans="1:107" customFormat="1" ht="15.75" thickBot="1">
      <c r="A71" s="3" t="s">
        <v>415</v>
      </c>
      <c r="B71" s="91" t="s">
        <v>416</v>
      </c>
      <c r="C71" s="92" t="s">
        <v>416</v>
      </c>
      <c r="D71" s="91" t="s">
        <v>416</v>
      </c>
      <c r="E71" s="92" t="s">
        <v>416</v>
      </c>
      <c r="F71" s="91" t="s">
        <v>416</v>
      </c>
      <c r="G71" s="92" t="s">
        <v>416</v>
      </c>
      <c r="H71" s="91" t="s">
        <v>416</v>
      </c>
      <c r="I71" s="92" t="s">
        <v>416</v>
      </c>
      <c r="J71" s="91" t="s">
        <v>416</v>
      </c>
      <c r="K71" s="92" t="s">
        <v>416</v>
      </c>
      <c r="L71" s="55" t="s">
        <v>18</v>
      </c>
      <c r="M71" s="59"/>
      <c r="N71" s="59"/>
      <c r="O71" s="60"/>
      <c r="P71" s="87"/>
      <c r="Q71" s="87"/>
      <c r="R71" s="87"/>
      <c r="S71" s="87"/>
      <c r="T71" s="87"/>
      <c r="U71" s="8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row>
    <row r="72" spans="1:107" ht="15.75" thickBot="1">
      <c r="A72" s="3" t="s">
        <v>96</v>
      </c>
      <c r="B72" s="94">
        <f>SUM(sumcapsStable[201819])+B70</f>
        <v>3028.6482000000001</v>
      </c>
      <c r="C72" s="94">
        <f>SUM(sumcapsStable[201920])+C70</f>
        <v>3046.7158000000004</v>
      </c>
      <c r="D72" s="94">
        <f>SUM(sumcapsStable[202021])+D70</f>
        <v>2926.7158000000004</v>
      </c>
      <c r="E72" s="94">
        <f>SUM(sumcapsStable[202122])+E70</f>
        <v>2806.7158000000004</v>
      </c>
      <c r="F72" s="94">
        <f>SUM(sumcapsStable[202223])+F70</f>
        <v>2806.7158000000004</v>
      </c>
      <c r="G72" s="94">
        <f>SUM(sumcapsStable[202324])+G70</f>
        <v>2806.7158000000004</v>
      </c>
      <c r="H72" s="94">
        <f>SUM(sumcapsStable[202425])+H70</f>
        <v>2806.7158000000004</v>
      </c>
      <c r="I72" s="94">
        <f>SUM(sumcapsStable[202526])+I70</f>
        <v>2806.7158000000004</v>
      </c>
      <c r="J72" s="94">
        <f>SUM(sumcapsStable[202627])+J70</f>
        <v>2806.7158000000004</v>
      </c>
      <c r="K72" s="94">
        <f>SUM(sumcapsStable[202728])+K70</f>
        <v>2806.7158000000004</v>
      </c>
      <c r="L72" s="58"/>
      <c r="M72" s="60"/>
      <c r="N72" s="60"/>
      <c r="O72" s="60"/>
    </row>
    <row r="73" spans="1:107" s="53" customFormat="1" ht="15.75" thickBot="1">
      <c r="A73" s="87"/>
      <c r="B73" s="64"/>
      <c r="C73" s="64"/>
      <c r="D73" s="64"/>
      <c r="E73" s="64"/>
      <c r="F73" s="64"/>
      <c r="G73" s="64"/>
      <c r="H73" s="64"/>
      <c r="I73" s="64"/>
      <c r="J73" s="64"/>
      <c r="K73" s="64"/>
      <c r="L73" s="87"/>
      <c r="M73" s="60"/>
      <c r="N73" s="60"/>
      <c r="O73" s="60"/>
      <c r="P73" s="60"/>
      <c r="Q73" s="60"/>
      <c r="R73" s="60"/>
      <c r="S73" s="60"/>
      <c r="T73" s="60"/>
      <c r="U73" s="60"/>
      <c r="V73" s="60"/>
      <c r="W73" s="60"/>
      <c r="X73" s="60"/>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row>
    <row r="74" spans="1:107" s="53" customFormat="1" ht="20.25" thickBot="1">
      <c r="A74" s="63" t="s">
        <v>417</v>
      </c>
      <c r="B74" s="87"/>
      <c r="C74" s="87"/>
      <c r="D74" s="87"/>
      <c r="E74" s="87"/>
      <c r="F74" s="87"/>
      <c r="G74" s="87"/>
      <c r="H74" s="87"/>
      <c r="I74" s="87"/>
      <c r="J74" s="87"/>
      <c r="K74" s="87"/>
      <c r="L74" s="87"/>
      <c r="M74" s="60"/>
      <c r="N74" s="60"/>
      <c r="O74" s="60"/>
      <c r="P74" s="60"/>
      <c r="Q74" s="60"/>
      <c r="R74" s="60"/>
      <c r="S74" s="60"/>
      <c r="T74" s="60"/>
      <c r="U74" s="60"/>
      <c r="V74" s="60"/>
      <c r="W74" s="60"/>
      <c r="X74" s="60"/>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row>
    <row r="75" spans="1:107" s="53" customFormat="1" ht="15.75" thickBot="1">
      <c r="A75" s="118" t="s">
        <v>402</v>
      </c>
      <c r="B75" s="118" t="s">
        <v>555</v>
      </c>
      <c r="C75" s="118" t="s">
        <v>556</v>
      </c>
      <c r="D75" s="118" t="s">
        <v>557</v>
      </c>
      <c r="E75" s="118" t="s">
        <v>558</v>
      </c>
      <c r="F75" s="118" t="s">
        <v>559</v>
      </c>
      <c r="G75" s="118" t="s">
        <v>560</v>
      </c>
      <c r="H75" s="118" t="s">
        <v>561</v>
      </c>
      <c r="I75" s="118" t="s">
        <v>562</v>
      </c>
      <c r="J75" s="118" t="s">
        <v>563</v>
      </c>
      <c r="K75" s="118" t="s">
        <v>564</v>
      </c>
      <c r="L75" s="118" t="s">
        <v>467</v>
      </c>
      <c r="M75" s="62" t="s">
        <v>403</v>
      </c>
      <c r="N75" s="62" t="s">
        <v>7</v>
      </c>
      <c r="O75" s="62" t="s">
        <v>404</v>
      </c>
      <c r="P75" s="60"/>
      <c r="Q75" s="60"/>
      <c r="R75" s="60"/>
      <c r="S75" s="60"/>
      <c r="T75" s="60"/>
      <c r="U75" s="60"/>
      <c r="V75" s="60"/>
      <c r="W75" s="60"/>
      <c r="X75" s="60"/>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row>
    <row r="76" spans="1:107" ht="15.75" thickBot="1">
      <c r="A76" s="3" t="s">
        <v>204</v>
      </c>
      <c r="B76" s="91">
        <v>110</v>
      </c>
      <c r="C76" s="92">
        <v>110</v>
      </c>
      <c r="D76" s="91">
        <v>110</v>
      </c>
      <c r="E76" s="92">
        <v>110</v>
      </c>
      <c r="F76" s="91">
        <v>110</v>
      </c>
      <c r="G76" s="92">
        <v>110</v>
      </c>
      <c r="H76" s="91">
        <v>110</v>
      </c>
      <c r="I76" s="92">
        <v>110</v>
      </c>
      <c r="J76" s="91">
        <v>110</v>
      </c>
      <c r="K76" s="92">
        <v>110</v>
      </c>
      <c r="L76" s="55" t="s">
        <v>18</v>
      </c>
      <c r="M76" s="56" t="s">
        <v>28</v>
      </c>
      <c r="N76" s="55" t="s">
        <v>15</v>
      </c>
      <c r="O76" s="56" t="s">
        <v>406</v>
      </c>
      <c r="P76" s="60"/>
      <c r="Q76" s="60"/>
      <c r="R76" s="60"/>
      <c r="S76" s="60"/>
      <c r="T76" s="60"/>
      <c r="U76" s="60"/>
      <c r="V76" s="60"/>
      <c r="W76" s="60"/>
      <c r="X76" s="60"/>
    </row>
    <row r="77" spans="1:107" ht="15.75" thickBot="1">
      <c r="A77" s="3" t="s">
        <v>207</v>
      </c>
      <c r="B77" s="91">
        <v>110</v>
      </c>
      <c r="C77" s="92">
        <v>110</v>
      </c>
      <c r="D77" s="91">
        <v>110</v>
      </c>
      <c r="E77" s="92">
        <v>110</v>
      </c>
      <c r="F77" s="91">
        <v>110</v>
      </c>
      <c r="G77" s="92">
        <v>110</v>
      </c>
      <c r="H77" s="91">
        <v>110</v>
      </c>
      <c r="I77" s="92">
        <v>110</v>
      </c>
      <c r="J77" s="91">
        <v>110</v>
      </c>
      <c r="K77" s="92">
        <v>110</v>
      </c>
      <c r="L77" s="55" t="s">
        <v>18</v>
      </c>
      <c r="M77" s="56" t="s">
        <v>28</v>
      </c>
      <c r="N77" s="55" t="s">
        <v>15</v>
      </c>
      <c r="O77" s="56" t="s">
        <v>406</v>
      </c>
      <c r="P77" s="60"/>
      <c r="Q77" s="60"/>
      <c r="R77" s="60"/>
      <c r="S77" s="60"/>
      <c r="T77" s="60"/>
      <c r="U77" s="60"/>
      <c r="V77" s="60"/>
      <c r="W77" s="60"/>
      <c r="X77" s="60"/>
    </row>
    <row r="78" spans="1:107" customFormat="1" ht="15.75" thickBot="1">
      <c r="A78" s="3" t="s">
        <v>536</v>
      </c>
      <c r="B78" s="91">
        <v>56.7</v>
      </c>
      <c r="C78" s="92">
        <v>56.7</v>
      </c>
      <c r="D78" s="91">
        <v>56.7</v>
      </c>
      <c r="E78" s="92">
        <v>56.7</v>
      </c>
      <c r="F78" s="91">
        <v>56.7</v>
      </c>
      <c r="G78" s="92">
        <v>56.7</v>
      </c>
      <c r="H78" s="91">
        <v>56.7</v>
      </c>
      <c r="I78" s="92">
        <v>56.7</v>
      </c>
      <c r="J78" s="91">
        <v>56.7</v>
      </c>
      <c r="K78" s="92">
        <v>56.7</v>
      </c>
      <c r="L78" s="55" t="s">
        <v>18</v>
      </c>
      <c r="M78" s="56" t="s">
        <v>17</v>
      </c>
      <c r="N78" s="55" t="s">
        <v>15</v>
      </c>
      <c r="O78" s="56" t="s">
        <v>406</v>
      </c>
      <c r="P78" s="87"/>
      <c r="Q78" s="87"/>
      <c r="R78" s="87"/>
      <c r="S78" s="87"/>
      <c r="T78" s="87"/>
      <c r="U78" s="8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row>
    <row r="79" spans="1:107" customFormat="1" ht="15.75" thickBot="1">
      <c r="A79" s="3" t="s">
        <v>37</v>
      </c>
      <c r="B79" s="91">
        <v>81.900000000000006</v>
      </c>
      <c r="C79" s="92">
        <v>81.900000000000006</v>
      </c>
      <c r="D79" s="91">
        <v>81.900000000000006</v>
      </c>
      <c r="E79" s="92">
        <v>81.900000000000006</v>
      </c>
      <c r="F79" s="91">
        <v>81.900000000000006</v>
      </c>
      <c r="G79" s="92">
        <v>81.900000000000006</v>
      </c>
      <c r="H79" s="91">
        <v>81.900000000000006</v>
      </c>
      <c r="I79" s="92">
        <v>81.900000000000006</v>
      </c>
      <c r="J79" s="91">
        <v>81.900000000000006</v>
      </c>
      <c r="K79" s="92">
        <v>81.900000000000006</v>
      </c>
      <c r="L79" s="55" t="s">
        <v>18</v>
      </c>
      <c r="M79" s="56" t="s">
        <v>17</v>
      </c>
      <c r="N79" s="55" t="s">
        <v>15</v>
      </c>
      <c r="O79" s="56" t="s">
        <v>406</v>
      </c>
      <c r="P79" s="87"/>
      <c r="Q79" s="87"/>
      <c r="R79" s="87"/>
      <c r="S79" s="87"/>
      <c r="T79" s="87"/>
      <c r="U79" s="8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row>
    <row r="80" spans="1:107" customFormat="1" ht="15.75" thickBot="1">
      <c r="A80" s="3" t="s">
        <v>40</v>
      </c>
      <c r="B80" s="91">
        <v>32.5</v>
      </c>
      <c r="C80" s="92">
        <v>32.5</v>
      </c>
      <c r="D80" s="91">
        <v>32.5</v>
      </c>
      <c r="E80" s="92">
        <v>32.5</v>
      </c>
      <c r="F80" s="91">
        <v>32.5</v>
      </c>
      <c r="G80" s="92">
        <v>32.5</v>
      </c>
      <c r="H80" s="91">
        <v>32.5</v>
      </c>
      <c r="I80" s="92">
        <v>32.5</v>
      </c>
      <c r="J80" s="91">
        <v>32.5</v>
      </c>
      <c r="K80" s="92">
        <v>32.5</v>
      </c>
      <c r="L80" s="55" t="s">
        <v>18</v>
      </c>
      <c r="M80" s="56" t="s">
        <v>17</v>
      </c>
      <c r="N80" s="55" t="s">
        <v>15</v>
      </c>
      <c r="O80" s="56" t="s">
        <v>406</v>
      </c>
      <c r="P80" s="87"/>
      <c r="Q80" s="87"/>
      <c r="R80" s="87"/>
      <c r="S80" s="87"/>
      <c r="T80" s="87"/>
      <c r="U80" s="8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row>
    <row r="81" spans="1:107" customFormat="1" ht="15.75" thickBot="1">
      <c r="A81" s="3" t="s">
        <v>46</v>
      </c>
      <c r="B81" s="91">
        <v>58.5</v>
      </c>
      <c r="C81" s="92">
        <v>58.5</v>
      </c>
      <c r="D81" s="91">
        <v>58.5</v>
      </c>
      <c r="E81" s="92">
        <v>58.5</v>
      </c>
      <c r="F81" s="91">
        <v>58.5</v>
      </c>
      <c r="G81" s="92">
        <v>58.5</v>
      </c>
      <c r="H81" s="91">
        <v>58.5</v>
      </c>
      <c r="I81" s="92">
        <v>58.5</v>
      </c>
      <c r="J81" s="91">
        <v>58.5</v>
      </c>
      <c r="K81" s="92">
        <v>58.5</v>
      </c>
      <c r="L81" s="55" t="s">
        <v>18</v>
      </c>
      <c r="M81" s="56" t="s">
        <v>17</v>
      </c>
      <c r="N81" s="55" t="s">
        <v>15</v>
      </c>
      <c r="O81" s="56" t="s">
        <v>406</v>
      </c>
      <c r="P81" s="87"/>
      <c r="Q81" s="87"/>
      <c r="R81" s="87"/>
      <c r="S81" s="87"/>
      <c r="T81" s="87"/>
      <c r="U81" s="8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row>
    <row r="82" spans="1:107" customFormat="1" ht="15.75" thickBot="1">
      <c r="A82" s="3" t="s">
        <v>49</v>
      </c>
      <c r="B82" s="91">
        <v>44.2</v>
      </c>
      <c r="C82" s="92">
        <v>44.2</v>
      </c>
      <c r="D82" s="91">
        <v>44.2</v>
      </c>
      <c r="E82" s="92">
        <v>44.2</v>
      </c>
      <c r="F82" s="91">
        <v>44.2</v>
      </c>
      <c r="G82" s="92">
        <v>44.2</v>
      </c>
      <c r="H82" s="91">
        <v>44.2</v>
      </c>
      <c r="I82" s="92">
        <v>44.2</v>
      </c>
      <c r="J82" s="91">
        <v>44.2</v>
      </c>
      <c r="K82" s="92">
        <v>44.2</v>
      </c>
      <c r="L82" s="55" t="s">
        <v>18</v>
      </c>
      <c r="M82" s="56" t="s">
        <v>17</v>
      </c>
      <c r="N82" s="55" t="s">
        <v>15</v>
      </c>
      <c r="O82" s="56" t="s">
        <v>406</v>
      </c>
      <c r="P82" s="87"/>
      <c r="Q82" s="87"/>
      <c r="R82" s="87"/>
      <c r="S82" s="87"/>
      <c r="T82" s="87"/>
      <c r="U82" s="8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row>
    <row r="83" spans="1:107" customFormat="1" ht="15.75" thickBot="1">
      <c r="A83" s="3" t="s">
        <v>54</v>
      </c>
      <c r="B83" s="91">
        <v>100</v>
      </c>
      <c r="C83" s="92">
        <v>100</v>
      </c>
      <c r="D83" s="91">
        <v>100</v>
      </c>
      <c r="E83" s="92">
        <v>100</v>
      </c>
      <c r="F83" s="91">
        <v>100</v>
      </c>
      <c r="G83" s="92">
        <v>100</v>
      </c>
      <c r="H83" s="91">
        <v>100</v>
      </c>
      <c r="I83" s="92">
        <v>100</v>
      </c>
      <c r="J83" s="91">
        <v>100</v>
      </c>
      <c r="K83" s="92">
        <v>100</v>
      </c>
      <c r="L83" s="55" t="s">
        <v>18</v>
      </c>
      <c r="M83" s="56" t="s">
        <v>17</v>
      </c>
      <c r="N83" s="55" t="s">
        <v>15</v>
      </c>
      <c r="O83" s="56" t="s">
        <v>406</v>
      </c>
      <c r="P83" s="87"/>
      <c r="Q83" s="87"/>
      <c r="R83" s="87"/>
      <c r="S83" s="87"/>
      <c r="T83" s="87"/>
      <c r="U83" s="8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row>
    <row r="84" spans="1:107" customFormat="1" ht="15.75" thickBot="1">
      <c r="A84" s="3" t="s">
        <v>57</v>
      </c>
      <c r="B84" s="91">
        <v>100</v>
      </c>
      <c r="C84" s="92">
        <v>100</v>
      </c>
      <c r="D84" s="91">
        <v>100</v>
      </c>
      <c r="E84" s="92">
        <v>100</v>
      </c>
      <c r="F84" s="91">
        <v>100</v>
      </c>
      <c r="G84" s="92">
        <v>100</v>
      </c>
      <c r="H84" s="91">
        <v>100</v>
      </c>
      <c r="I84" s="92">
        <v>100</v>
      </c>
      <c r="J84" s="91">
        <v>100</v>
      </c>
      <c r="K84" s="92">
        <v>100</v>
      </c>
      <c r="L84" s="55" t="s">
        <v>18</v>
      </c>
      <c r="M84" s="56" t="s">
        <v>17</v>
      </c>
      <c r="N84" s="55" t="s">
        <v>15</v>
      </c>
      <c r="O84" s="56" t="s">
        <v>406</v>
      </c>
      <c r="P84" s="87"/>
      <c r="Q84" s="87"/>
      <c r="R84" s="87"/>
      <c r="S84" s="87"/>
      <c r="T84" s="87"/>
      <c r="U84" s="8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row>
    <row r="85" spans="1:107" customFormat="1" ht="15.75" thickBot="1">
      <c r="A85" s="3" t="s">
        <v>59</v>
      </c>
      <c r="B85" s="91">
        <v>109</v>
      </c>
      <c r="C85" s="92">
        <v>109</v>
      </c>
      <c r="D85" s="91">
        <v>109</v>
      </c>
      <c r="E85" s="92">
        <v>109</v>
      </c>
      <c r="F85" s="91">
        <v>109</v>
      </c>
      <c r="G85" s="92">
        <v>109</v>
      </c>
      <c r="H85" s="91">
        <v>109</v>
      </c>
      <c r="I85" s="92">
        <v>109</v>
      </c>
      <c r="J85" s="91">
        <v>109</v>
      </c>
      <c r="K85" s="92">
        <v>109</v>
      </c>
      <c r="L85" s="55" t="s">
        <v>18</v>
      </c>
      <c r="M85" s="56" t="s">
        <v>17</v>
      </c>
      <c r="N85" s="55" t="s">
        <v>15</v>
      </c>
      <c r="O85" s="56" t="s">
        <v>406</v>
      </c>
      <c r="P85" s="87"/>
      <c r="Q85" s="87"/>
      <c r="R85" s="87"/>
      <c r="S85" s="87"/>
      <c r="T85" s="87"/>
      <c r="U85" s="8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row>
    <row r="86" spans="1:107" customFormat="1" ht="15.75" thickBot="1">
      <c r="A86" s="3" t="s">
        <v>64</v>
      </c>
      <c r="B86" s="91">
        <v>159</v>
      </c>
      <c r="C86" s="92">
        <v>159</v>
      </c>
      <c r="D86" s="91">
        <v>159</v>
      </c>
      <c r="E86" s="92">
        <v>159</v>
      </c>
      <c r="F86" s="91">
        <v>159</v>
      </c>
      <c r="G86" s="92">
        <v>159</v>
      </c>
      <c r="H86" s="91">
        <v>159</v>
      </c>
      <c r="I86" s="92">
        <v>159</v>
      </c>
      <c r="J86" s="91">
        <v>159</v>
      </c>
      <c r="K86" s="92">
        <v>159</v>
      </c>
      <c r="L86" s="55" t="s">
        <v>18</v>
      </c>
      <c r="M86" s="56" t="s">
        <v>17</v>
      </c>
      <c r="N86" s="55" t="s">
        <v>15</v>
      </c>
      <c r="O86" s="56" t="s">
        <v>406</v>
      </c>
      <c r="P86" s="87"/>
      <c r="Q86" s="87"/>
      <c r="R86" s="87"/>
      <c r="S86" s="87"/>
      <c r="T86" s="87"/>
      <c r="U86" s="8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row>
    <row r="87" spans="1:107" customFormat="1" ht="15.75" thickBot="1">
      <c r="A87" s="3" t="s">
        <v>67</v>
      </c>
      <c r="B87" s="91">
        <v>39</v>
      </c>
      <c r="C87" s="92">
        <v>39</v>
      </c>
      <c r="D87" s="91">
        <v>39</v>
      </c>
      <c r="E87" s="92">
        <v>39</v>
      </c>
      <c r="F87" s="91">
        <v>39</v>
      </c>
      <c r="G87" s="92">
        <v>39</v>
      </c>
      <c r="H87" s="91">
        <v>39</v>
      </c>
      <c r="I87" s="92">
        <v>39</v>
      </c>
      <c r="J87" s="91">
        <v>39</v>
      </c>
      <c r="K87" s="92">
        <v>39</v>
      </c>
      <c r="L87" s="55" t="s">
        <v>18</v>
      </c>
      <c r="M87" s="56" t="s">
        <v>17</v>
      </c>
      <c r="N87" s="55" t="s">
        <v>15</v>
      </c>
      <c r="O87" s="56" t="s">
        <v>406</v>
      </c>
      <c r="P87" s="87"/>
      <c r="Q87" s="87"/>
      <c r="R87" s="87"/>
      <c r="S87" s="87"/>
      <c r="T87" s="87"/>
      <c r="U87" s="8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row>
    <row r="88" spans="1:107" customFormat="1" ht="15.75" thickBot="1">
      <c r="A88" s="3" t="s">
        <v>101</v>
      </c>
      <c r="B88" s="91">
        <v>0</v>
      </c>
      <c r="C88" s="92">
        <v>126</v>
      </c>
      <c r="D88" s="91">
        <v>126</v>
      </c>
      <c r="E88" s="92">
        <v>126</v>
      </c>
      <c r="F88" s="91">
        <v>126</v>
      </c>
      <c r="G88" s="92">
        <v>126</v>
      </c>
      <c r="H88" s="91">
        <v>126</v>
      </c>
      <c r="I88" s="92">
        <v>126</v>
      </c>
      <c r="J88" s="91">
        <v>126</v>
      </c>
      <c r="K88" s="92">
        <v>126</v>
      </c>
      <c r="L88" s="55" t="s">
        <v>18</v>
      </c>
      <c r="M88" s="56" t="s">
        <v>17</v>
      </c>
      <c r="N88" s="55" t="s">
        <v>15</v>
      </c>
      <c r="O88" s="56" t="s">
        <v>406</v>
      </c>
      <c r="P88" s="87"/>
      <c r="Q88" s="87"/>
      <c r="R88" s="87"/>
      <c r="S88" s="87"/>
      <c r="T88" s="87"/>
      <c r="U88" s="8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row>
    <row r="89" spans="1:107" customFormat="1" ht="15.75" thickBot="1">
      <c r="A89" s="3" t="s">
        <v>538</v>
      </c>
      <c r="B89" s="91">
        <v>270</v>
      </c>
      <c r="C89" s="92">
        <v>270</v>
      </c>
      <c r="D89" s="91">
        <v>270</v>
      </c>
      <c r="E89" s="92">
        <v>270</v>
      </c>
      <c r="F89" s="91">
        <v>270</v>
      </c>
      <c r="G89" s="92">
        <v>270</v>
      </c>
      <c r="H89" s="91">
        <v>270</v>
      </c>
      <c r="I89" s="92">
        <v>270</v>
      </c>
      <c r="J89" s="91">
        <v>270</v>
      </c>
      <c r="K89" s="92">
        <v>270</v>
      </c>
      <c r="L89" s="55" t="s">
        <v>18</v>
      </c>
      <c r="M89" s="56" t="s">
        <v>17</v>
      </c>
      <c r="N89" s="55" t="s">
        <v>15</v>
      </c>
      <c r="O89" s="56" t="s">
        <v>406</v>
      </c>
      <c r="P89" s="87"/>
      <c r="Q89" s="87"/>
      <c r="R89" s="87"/>
      <c r="S89" s="87"/>
      <c r="T89" s="87"/>
      <c r="U89" s="8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row>
    <row r="90" spans="1:107" customFormat="1" ht="15.75" thickBot="1">
      <c r="A90" s="3" t="s">
        <v>539</v>
      </c>
      <c r="B90" s="91">
        <v>98.7</v>
      </c>
      <c r="C90" s="92">
        <v>98.7</v>
      </c>
      <c r="D90" s="91">
        <v>98.7</v>
      </c>
      <c r="E90" s="92">
        <v>98.7</v>
      </c>
      <c r="F90" s="91">
        <v>98.7</v>
      </c>
      <c r="G90" s="92">
        <v>98.7</v>
      </c>
      <c r="H90" s="91">
        <v>98.7</v>
      </c>
      <c r="I90" s="92">
        <v>98.7</v>
      </c>
      <c r="J90" s="91">
        <v>98.7</v>
      </c>
      <c r="K90" s="92">
        <v>98.7</v>
      </c>
      <c r="L90" s="55" t="s">
        <v>18</v>
      </c>
      <c r="M90" s="56" t="s">
        <v>17</v>
      </c>
      <c r="N90" s="55" t="s">
        <v>15</v>
      </c>
      <c r="O90" s="56" t="s">
        <v>406</v>
      </c>
      <c r="P90" s="87"/>
      <c r="Q90" s="87"/>
      <c r="R90" s="87"/>
      <c r="S90" s="87"/>
      <c r="T90" s="87"/>
      <c r="U90" s="8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row>
    <row r="91" spans="1:107" customFormat="1" ht="15.75" thickBot="1">
      <c r="A91" s="3" t="s">
        <v>106</v>
      </c>
      <c r="B91" s="91">
        <v>0</v>
      </c>
      <c r="C91" s="92">
        <v>95</v>
      </c>
      <c r="D91" s="91">
        <v>95</v>
      </c>
      <c r="E91" s="92">
        <v>95</v>
      </c>
      <c r="F91" s="91">
        <v>95</v>
      </c>
      <c r="G91" s="92">
        <v>95</v>
      </c>
      <c r="H91" s="91">
        <v>95</v>
      </c>
      <c r="I91" s="92">
        <v>95</v>
      </c>
      <c r="J91" s="91">
        <v>95</v>
      </c>
      <c r="K91" s="92">
        <v>95</v>
      </c>
      <c r="L91" s="55" t="s">
        <v>18</v>
      </c>
      <c r="M91" s="56" t="s">
        <v>28</v>
      </c>
      <c r="N91" s="55" t="s">
        <v>15</v>
      </c>
      <c r="O91" s="56" t="s">
        <v>406</v>
      </c>
      <c r="P91" s="87"/>
      <c r="Q91" s="87"/>
      <c r="R91" s="87"/>
      <c r="S91" s="87"/>
      <c r="T91" s="87"/>
      <c r="U91" s="8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row>
    <row r="92" spans="1:107" customFormat="1" ht="15.75" thickBot="1">
      <c r="A92" s="3" t="s">
        <v>541</v>
      </c>
      <c r="B92" s="91">
        <v>130.80000000000001</v>
      </c>
      <c r="C92" s="92">
        <v>130.80000000000001</v>
      </c>
      <c r="D92" s="91">
        <v>130.80000000000001</v>
      </c>
      <c r="E92" s="92">
        <v>130.80000000000001</v>
      </c>
      <c r="F92" s="91">
        <v>130.80000000000001</v>
      </c>
      <c r="G92" s="92">
        <v>130.80000000000001</v>
      </c>
      <c r="H92" s="91">
        <v>130.80000000000001</v>
      </c>
      <c r="I92" s="92">
        <v>130.80000000000001</v>
      </c>
      <c r="J92" s="91">
        <v>130.80000000000001</v>
      </c>
      <c r="K92" s="92">
        <v>130.80000000000001</v>
      </c>
      <c r="L92" s="55" t="s">
        <v>18</v>
      </c>
      <c r="M92" s="56" t="s">
        <v>17</v>
      </c>
      <c r="N92" s="55" t="s">
        <v>15</v>
      </c>
      <c r="O92" s="56" t="s">
        <v>406</v>
      </c>
      <c r="P92" s="87"/>
      <c r="Q92" s="87"/>
      <c r="R92" s="87"/>
      <c r="S92" s="87"/>
      <c r="T92" s="87"/>
      <c r="U92" s="8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row>
    <row r="93" spans="1:107" customFormat="1" ht="15.75" thickBot="1">
      <c r="A93" s="3" t="s">
        <v>574</v>
      </c>
      <c r="B93" s="91">
        <v>0</v>
      </c>
      <c r="C93" s="92">
        <v>119.4</v>
      </c>
      <c r="D93" s="91">
        <v>119.4</v>
      </c>
      <c r="E93" s="92">
        <v>119.4</v>
      </c>
      <c r="F93" s="91">
        <v>119.4</v>
      </c>
      <c r="G93" s="92">
        <v>119.4</v>
      </c>
      <c r="H93" s="91">
        <v>119.4</v>
      </c>
      <c r="I93" s="92">
        <v>119.4</v>
      </c>
      <c r="J93" s="91">
        <v>119.4</v>
      </c>
      <c r="K93" s="92">
        <v>119.4</v>
      </c>
      <c r="L93" s="55" t="s">
        <v>18</v>
      </c>
      <c r="M93" s="56" t="s">
        <v>17</v>
      </c>
      <c r="N93" s="55" t="s">
        <v>15</v>
      </c>
      <c r="O93" s="56" t="s">
        <v>406</v>
      </c>
      <c r="P93" s="87"/>
      <c r="Q93" s="87"/>
      <c r="R93" s="87"/>
      <c r="S93" s="87"/>
      <c r="T93" s="87"/>
      <c r="U93" s="8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row>
    <row r="94" spans="1:107" customFormat="1" ht="15.75" thickBot="1">
      <c r="A94" s="87"/>
      <c r="B94" s="93"/>
      <c r="C94" s="93"/>
      <c r="D94" s="93"/>
      <c r="E94" s="93"/>
      <c r="F94" s="93"/>
      <c r="G94" s="93"/>
      <c r="H94" s="93"/>
      <c r="I94" s="93"/>
      <c r="J94" s="93"/>
      <c r="K94" s="93"/>
      <c r="L94" s="87"/>
      <c r="M94" s="87"/>
      <c r="N94" s="87"/>
      <c r="O94" s="87"/>
      <c r="P94" s="87"/>
      <c r="Q94" s="87"/>
      <c r="R94" s="87"/>
      <c r="S94" s="87"/>
      <c r="T94" s="87"/>
      <c r="U94" s="8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row>
    <row r="95" spans="1:107" customFormat="1" ht="15.75" thickBot="1">
      <c r="A95" s="57" t="s">
        <v>418</v>
      </c>
      <c r="B95" s="94">
        <f>SUMIF(sumcapsSStable[[FuelType]:[FuelType]],"Wind",sumcapsSStable[201819])</f>
        <v>1280.3</v>
      </c>
      <c r="C95" s="94">
        <f>SUMIF(sumcapsSStable[[FuelType]:[FuelType]],"Wind",sumcapsSStable[201920])</f>
        <v>1525.7</v>
      </c>
      <c r="D95" s="94">
        <f>SUMIF(sumcapsSStable[[FuelType]:[FuelType]],"Wind",sumcapsSStable[202021])</f>
        <v>1525.7</v>
      </c>
      <c r="E95" s="94">
        <f>SUMIF(sumcapsSStable[[FuelType]:[FuelType]],"Wind",sumcapsSStable[202122])</f>
        <v>1525.7</v>
      </c>
      <c r="F95" s="94">
        <f>SUMIF(sumcapsSStable[[FuelType]:[FuelType]],"Wind",sumcapsSStable[202223])</f>
        <v>1525.7</v>
      </c>
      <c r="G95" s="94">
        <f>SUMIF(sumcapsSStable[[FuelType]:[FuelType]],"Wind",sumcapsSStable[202324])</f>
        <v>1525.7</v>
      </c>
      <c r="H95" s="94">
        <f>SUMIF(sumcapsSStable[[FuelType]:[FuelType]],"Wind",sumcapsSStable[202425])</f>
        <v>1525.7</v>
      </c>
      <c r="I95" s="94">
        <f>SUMIF(sumcapsSStable[[FuelType]:[FuelType]],"Wind",sumcapsSStable[202526])</f>
        <v>1525.7</v>
      </c>
      <c r="J95" s="94">
        <f>SUMIF(sumcapsSStable[[FuelType]:[FuelType]],"Wind",sumcapsSStable[202627])</f>
        <v>1525.7</v>
      </c>
      <c r="K95" s="94">
        <f>SUMIF(sumcapsSStable[[FuelType]:[FuelType]],"Wind",sumcapsSStable[202728])</f>
        <v>1525.7</v>
      </c>
      <c r="L95" s="58"/>
      <c r="M95" s="60"/>
      <c r="N95" s="60"/>
      <c r="O95" s="60"/>
      <c r="P95" s="87"/>
      <c r="Q95" s="87"/>
      <c r="R95" s="87"/>
      <c r="S95" s="87"/>
      <c r="T95" s="87"/>
      <c r="U95" s="8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row>
    <row r="96" spans="1:107" customFormat="1" ht="15.75" thickBot="1">
      <c r="A96" s="57" t="s">
        <v>419</v>
      </c>
      <c r="B96" s="94">
        <f>SUMIF(sumcapsSStable[[FuelType]:[FuelType]],"Solar",sumcapsSStable[201819])</f>
        <v>220</v>
      </c>
      <c r="C96" s="94">
        <f>SUMIF(sumcapsSStable[[FuelType]:[FuelType]],"Solar",sumcapsSStable[201920])</f>
        <v>315</v>
      </c>
      <c r="D96" s="94">
        <f>SUMIF(sumcapsSStable[[FuelType]:[FuelType]],"Solar",sumcapsSStable[202021])</f>
        <v>315</v>
      </c>
      <c r="E96" s="94">
        <f>SUMIF(sumcapsSStable[[FuelType]:[FuelType]],"Solar",sumcapsSStable[202122])</f>
        <v>315</v>
      </c>
      <c r="F96" s="94">
        <f>SUMIF(sumcapsSStable[[FuelType]:[FuelType]],"Solar",sumcapsSStable[202223])</f>
        <v>315</v>
      </c>
      <c r="G96" s="94">
        <f>SUMIF(sumcapsSStable[[FuelType]:[FuelType]],"Solar",sumcapsSStable[202324])</f>
        <v>315</v>
      </c>
      <c r="H96" s="94">
        <f>SUMIF(sumcapsSStable[[FuelType]:[FuelType]],"Solar",sumcapsSStable[202425])</f>
        <v>315</v>
      </c>
      <c r="I96" s="94">
        <f>SUMIF(sumcapsSStable[[FuelType]:[FuelType]],"Solar",sumcapsSStable[202526])</f>
        <v>315</v>
      </c>
      <c r="J96" s="94">
        <f>SUMIF(sumcapsSStable[[FuelType]:[FuelType]],"Solar",sumcapsSStable[202627])</f>
        <v>315</v>
      </c>
      <c r="K96" s="94">
        <f>SUMIF(sumcapsSStable[[FuelType]:[FuelType]],"Solar",sumcapsSStable[202728])</f>
        <v>315</v>
      </c>
      <c r="L96" s="58"/>
      <c r="M96" s="60"/>
      <c r="N96" s="60"/>
      <c r="O96" s="60"/>
      <c r="P96" s="87"/>
      <c r="Q96" s="87"/>
      <c r="R96" s="87"/>
      <c r="S96" s="87"/>
      <c r="T96" s="87"/>
      <c r="U96" s="8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row>
    <row r="97" spans="1:107" customFormat="1">
      <c r="A97" s="87"/>
      <c r="B97" s="87"/>
      <c r="C97" s="87"/>
      <c r="D97" s="87"/>
      <c r="E97" s="87"/>
      <c r="F97" s="87"/>
      <c r="G97" s="87"/>
      <c r="H97" s="87"/>
      <c r="I97" s="87"/>
      <c r="J97" s="87"/>
      <c r="K97" s="87"/>
      <c r="L97" s="87"/>
      <c r="M97" s="87"/>
      <c r="N97" s="87"/>
      <c r="O97" s="87"/>
      <c r="P97" s="87"/>
      <c r="Q97" s="87"/>
      <c r="R97" s="87"/>
      <c r="S97" s="87"/>
      <c r="T97" s="87"/>
      <c r="U97" s="8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row>
    <row r="99" spans="1:107" s="53" customFormat="1">
      <c r="A99" s="87"/>
      <c r="B99" s="87"/>
      <c r="C99" s="87"/>
      <c r="D99" s="87"/>
      <c r="E99" s="87"/>
      <c r="F99" s="87"/>
      <c r="G99" s="87"/>
      <c r="H99" s="87"/>
      <c r="I99" s="87"/>
      <c r="J99" s="87"/>
      <c r="K99" s="87"/>
      <c r="L99" s="87"/>
      <c r="M99" s="87"/>
      <c r="N99" s="87"/>
      <c r="O99" s="87"/>
      <c r="P99" s="60"/>
      <c r="Q99" s="60"/>
      <c r="R99" s="60"/>
      <c r="S99" s="60"/>
      <c r="T99" s="60"/>
      <c r="U99" s="60"/>
      <c r="V99" s="60"/>
      <c r="W99" s="60"/>
      <c r="X99" s="60"/>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row>
    <row r="100" spans="1:107" s="53" customFormat="1">
      <c r="A100" s="87"/>
      <c r="B100" s="87"/>
      <c r="C100" s="87"/>
      <c r="D100" s="87"/>
      <c r="E100" s="87"/>
      <c r="F100" s="87"/>
      <c r="G100" s="87"/>
      <c r="H100" s="87"/>
      <c r="I100" s="87"/>
      <c r="J100" s="87"/>
      <c r="K100" s="87"/>
      <c r="L100" s="87"/>
      <c r="M100" s="87"/>
      <c r="N100" s="87"/>
      <c r="O100" s="87"/>
      <c r="P100" s="60"/>
      <c r="Q100" s="60"/>
      <c r="R100" s="60"/>
      <c r="S100" s="60"/>
      <c r="T100" s="60"/>
      <c r="U100" s="60"/>
      <c r="V100" s="60"/>
      <c r="W100" s="60"/>
      <c r="X100" s="60"/>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row>
  </sheetData>
  <mergeCells count="4">
    <mergeCell ref="A43:L43"/>
    <mergeCell ref="A44:L44"/>
    <mergeCell ref="A45:L45"/>
    <mergeCell ref="A46:L46"/>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C100"/>
  <sheetViews>
    <sheetView workbookViewId="0"/>
  </sheetViews>
  <sheetFormatPr defaultColWidth="9.140625" defaultRowHeight="15"/>
  <cols>
    <col min="1" max="1" width="27.28515625" style="87" bestFit="1" customWidth="1"/>
    <col min="2" max="11" width="9" style="87" bestFit="1" customWidth="1"/>
    <col min="12" max="12" width="16.140625" style="87" bestFit="1" customWidth="1"/>
    <col min="13" max="13" width="12.7109375" style="87" hidden="1" customWidth="1"/>
    <col min="14" max="14" width="11" style="87" hidden="1" customWidth="1"/>
    <col min="15" max="15" width="11.42578125" style="87" hidden="1" customWidth="1"/>
    <col min="16" max="21" width="9.140625" style="87"/>
    <col min="22" max="16384" width="9.140625" style="27"/>
  </cols>
  <sheetData>
    <row r="1" spans="1:107" ht="20.25" thickBot="1">
      <c r="A1" s="63" t="s">
        <v>420</v>
      </c>
      <c r="B1" s="27"/>
      <c r="C1" s="27"/>
      <c r="D1" s="27"/>
      <c r="E1" s="27"/>
      <c r="F1" s="27"/>
      <c r="G1" s="27"/>
      <c r="H1" s="27"/>
      <c r="I1" s="27"/>
      <c r="J1" s="27"/>
      <c r="K1" s="27"/>
      <c r="L1" s="27"/>
      <c r="M1" s="27"/>
      <c r="N1" s="27"/>
      <c r="O1" s="27"/>
      <c r="P1" s="27"/>
      <c r="Q1" s="27"/>
      <c r="R1" s="27"/>
      <c r="S1" s="27"/>
      <c r="T1" s="27"/>
      <c r="U1" s="27"/>
    </row>
    <row r="2" spans="1:107" s="54" customFormat="1" ht="15.75" thickBot="1">
      <c r="A2" s="88" t="s">
        <v>402</v>
      </c>
      <c r="B2" s="88" t="s">
        <v>471</v>
      </c>
      <c r="C2" s="88" t="s">
        <v>472</v>
      </c>
      <c r="D2" s="88" t="s">
        <v>473</v>
      </c>
      <c r="E2" s="88" t="s">
        <v>474</v>
      </c>
      <c r="F2" s="88" t="s">
        <v>475</v>
      </c>
      <c r="G2" s="88" t="s">
        <v>476</v>
      </c>
      <c r="H2" s="88" t="s">
        <v>477</v>
      </c>
      <c r="I2" s="88" t="s">
        <v>478</v>
      </c>
      <c r="J2" s="88" t="s">
        <v>479</v>
      </c>
      <c r="K2" s="88" t="s">
        <v>480</v>
      </c>
      <c r="L2" s="88" t="s">
        <v>467</v>
      </c>
      <c r="M2" s="68" t="s">
        <v>403</v>
      </c>
      <c r="N2" s="68" t="s">
        <v>7</v>
      </c>
      <c r="O2" s="69" t="s">
        <v>404</v>
      </c>
      <c r="P2" s="87"/>
      <c r="Q2" s="87"/>
      <c r="R2" s="87"/>
      <c r="S2" s="87"/>
      <c r="T2" s="87"/>
      <c r="U2" s="8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row>
    <row r="3" spans="1:107" s="54" customFormat="1" ht="15.75" thickBot="1">
      <c r="A3" s="65" t="s">
        <v>8</v>
      </c>
      <c r="B3" s="91">
        <v>50</v>
      </c>
      <c r="C3" s="92">
        <v>50</v>
      </c>
      <c r="D3" s="91">
        <v>50</v>
      </c>
      <c r="E3" s="92">
        <v>50</v>
      </c>
      <c r="F3" s="91">
        <v>50</v>
      </c>
      <c r="G3" s="92">
        <v>50</v>
      </c>
      <c r="H3" s="91">
        <v>50</v>
      </c>
      <c r="I3" s="92">
        <v>50</v>
      </c>
      <c r="J3" s="91">
        <v>50</v>
      </c>
      <c r="K3" s="92">
        <v>50</v>
      </c>
      <c r="L3" s="55" t="s">
        <v>13</v>
      </c>
      <c r="M3" s="56" t="s">
        <v>405</v>
      </c>
      <c r="N3" s="55" t="s">
        <v>15</v>
      </c>
      <c r="O3" s="66" t="s">
        <v>421</v>
      </c>
      <c r="P3" s="87"/>
      <c r="Q3" s="87"/>
      <c r="R3" s="87"/>
      <c r="S3" s="87"/>
      <c r="T3" s="87"/>
      <c r="U3" s="8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row>
    <row r="4" spans="1:107" s="54" customFormat="1" ht="15.75" thickBot="1">
      <c r="A4" s="65" t="s">
        <v>98</v>
      </c>
      <c r="B4" s="91">
        <v>0</v>
      </c>
      <c r="C4" s="92">
        <v>210</v>
      </c>
      <c r="D4" s="91">
        <v>210</v>
      </c>
      <c r="E4" s="92">
        <v>210</v>
      </c>
      <c r="F4" s="91">
        <v>210</v>
      </c>
      <c r="G4" s="92">
        <v>210</v>
      </c>
      <c r="H4" s="91">
        <v>210</v>
      </c>
      <c r="I4" s="92">
        <v>210</v>
      </c>
      <c r="J4" s="91">
        <v>210</v>
      </c>
      <c r="K4" s="92">
        <v>210</v>
      </c>
      <c r="L4" s="55" t="s">
        <v>13</v>
      </c>
      <c r="M4" s="56" t="s">
        <v>405</v>
      </c>
      <c r="N4" s="55" t="s">
        <v>15</v>
      </c>
      <c r="O4" s="66" t="s">
        <v>421</v>
      </c>
      <c r="P4" s="87"/>
      <c r="Q4" s="87"/>
      <c r="R4" s="87"/>
      <c r="S4" s="87"/>
      <c r="T4" s="87"/>
      <c r="U4" s="8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row>
    <row r="5" spans="1:107" s="54" customFormat="1" ht="15.75" thickBot="1">
      <c r="A5" s="65" t="s">
        <v>204</v>
      </c>
      <c r="B5" s="91">
        <v>110</v>
      </c>
      <c r="C5" s="92">
        <v>110</v>
      </c>
      <c r="D5" s="91">
        <v>110</v>
      </c>
      <c r="E5" s="92">
        <v>110</v>
      </c>
      <c r="F5" s="91">
        <v>110</v>
      </c>
      <c r="G5" s="92">
        <v>110</v>
      </c>
      <c r="H5" s="91">
        <v>110</v>
      </c>
      <c r="I5" s="92">
        <v>110</v>
      </c>
      <c r="J5" s="91">
        <v>110</v>
      </c>
      <c r="K5" s="92">
        <v>110</v>
      </c>
      <c r="L5" s="55" t="s">
        <v>18</v>
      </c>
      <c r="M5" s="56" t="s">
        <v>28</v>
      </c>
      <c r="N5" s="55" t="s">
        <v>15</v>
      </c>
      <c r="O5" s="66" t="s">
        <v>421</v>
      </c>
      <c r="P5" s="87"/>
      <c r="Q5" s="87"/>
      <c r="R5" s="87"/>
      <c r="S5" s="87"/>
      <c r="T5" s="87"/>
      <c r="U5" s="8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row>
    <row r="6" spans="1:107" s="54" customFormat="1" ht="15.75" thickBot="1">
      <c r="A6" s="65" t="s">
        <v>207</v>
      </c>
      <c r="B6" s="91">
        <v>110</v>
      </c>
      <c r="C6" s="92">
        <v>110</v>
      </c>
      <c r="D6" s="91">
        <v>110</v>
      </c>
      <c r="E6" s="92">
        <v>110</v>
      </c>
      <c r="F6" s="91">
        <v>110</v>
      </c>
      <c r="G6" s="92">
        <v>110</v>
      </c>
      <c r="H6" s="91">
        <v>110</v>
      </c>
      <c r="I6" s="92">
        <v>110</v>
      </c>
      <c r="J6" s="91">
        <v>110</v>
      </c>
      <c r="K6" s="92">
        <v>110</v>
      </c>
      <c r="L6" s="55" t="s">
        <v>18</v>
      </c>
      <c r="M6" s="56" t="s">
        <v>28</v>
      </c>
      <c r="N6" s="55" t="s">
        <v>15</v>
      </c>
      <c r="O6" s="66" t="s">
        <v>421</v>
      </c>
      <c r="P6" s="87"/>
      <c r="Q6" s="87"/>
      <c r="R6" s="87"/>
      <c r="S6" s="87"/>
      <c r="T6" s="87"/>
      <c r="U6" s="8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row>
    <row r="7" spans="1:107" s="54" customFormat="1" ht="15.75" thickBot="1">
      <c r="A7" s="65" t="s">
        <v>536</v>
      </c>
      <c r="B7" s="91">
        <v>56.7</v>
      </c>
      <c r="C7" s="92">
        <v>56.7</v>
      </c>
      <c r="D7" s="91">
        <v>56.7</v>
      </c>
      <c r="E7" s="92">
        <v>56.7</v>
      </c>
      <c r="F7" s="91">
        <v>56.7</v>
      </c>
      <c r="G7" s="92">
        <v>56.7</v>
      </c>
      <c r="H7" s="91">
        <v>56.7</v>
      </c>
      <c r="I7" s="92">
        <v>56.7</v>
      </c>
      <c r="J7" s="91">
        <v>56.7</v>
      </c>
      <c r="K7" s="92">
        <v>56.7</v>
      </c>
      <c r="L7" s="55" t="s">
        <v>18</v>
      </c>
      <c r="M7" s="56" t="s">
        <v>17</v>
      </c>
      <c r="N7" s="55" t="s">
        <v>15</v>
      </c>
      <c r="O7" s="66" t="s">
        <v>421</v>
      </c>
      <c r="P7" s="87"/>
      <c r="Q7" s="87"/>
      <c r="R7" s="87"/>
      <c r="S7" s="87"/>
      <c r="T7" s="87"/>
      <c r="U7" s="8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row>
    <row r="8" spans="1:107" s="54" customFormat="1" ht="15.75" thickBot="1">
      <c r="A8" s="65" t="s">
        <v>34</v>
      </c>
      <c r="B8" s="91">
        <v>143</v>
      </c>
      <c r="C8" s="92">
        <v>143</v>
      </c>
      <c r="D8" s="91">
        <v>143</v>
      </c>
      <c r="E8" s="92">
        <v>143</v>
      </c>
      <c r="F8" s="91">
        <v>143</v>
      </c>
      <c r="G8" s="92">
        <v>143</v>
      </c>
      <c r="H8" s="91">
        <v>143</v>
      </c>
      <c r="I8" s="92">
        <v>143</v>
      </c>
      <c r="J8" s="91">
        <v>143</v>
      </c>
      <c r="K8" s="92">
        <v>143</v>
      </c>
      <c r="L8" s="55" t="s">
        <v>13</v>
      </c>
      <c r="M8" s="56" t="s">
        <v>405</v>
      </c>
      <c r="N8" s="55" t="s">
        <v>15</v>
      </c>
      <c r="O8" s="66" t="s">
        <v>421</v>
      </c>
      <c r="P8" s="87"/>
      <c r="Q8" s="87"/>
      <c r="R8" s="87"/>
      <c r="S8" s="87"/>
      <c r="T8" s="87"/>
      <c r="U8" s="8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row>
    <row r="9" spans="1:107" s="54" customFormat="1" ht="15.75" thickBot="1">
      <c r="A9" s="65" t="s">
        <v>209</v>
      </c>
      <c r="B9" s="91">
        <v>30</v>
      </c>
      <c r="C9" s="92">
        <v>30</v>
      </c>
      <c r="D9" s="91">
        <v>30</v>
      </c>
      <c r="E9" s="92">
        <v>30</v>
      </c>
      <c r="F9" s="91">
        <v>30</v>
      </c>
      <c r="G9" s="92">
        <v>30</v>
      </c>
      <c r="H9" s="91">
        <v>30</v>
      </c>
      <c r="I9" s="92">
        <v>30</v>
      </c>
      <c r="J9" s="91">
        <v>30</v>
      </c>
      <c r="K9" s="92">
        <v>30</v>
      </c>
      <c r="L9" s="55" t="s">
        <v>13</v>
      </c>
      <c r="M9" s="56" t="s">
        <v>570</v>
      </c>
      <c r="N9" s="55" t="s">
        <v>15</v>
      </c>
      <c r="O9" s="66" t="s">
        <v>421</v>
      </c>
      <c r="P9" s="87"/>
      <c r="Q9" s="87"/>
      <c r="R9" s="87"/>
      <c r="S9" s="87"/>
      <c r="T9" s="87"/>
      <c r="U9" s="8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row>
    <row r="10" spans="1:107" s="54" customFormat="1" ht="15.75" thickBot="1">
      <c r="A10" s="65" t="s">
        <v>37</v>
      </c>
      <c r="B10" s="91">
        <v>132.30000000000001</v>
      </c>
      <c r="C10" s="92">
        <v>132.30000000000001</v>
      </c>
      <c r="D10" s="91">
        <v>132.30000000000001</v>
      </c>
      <c r="E10" s="92">
        <v>132.30000000000001</v>
      </c>
      <c r="F10" s="91">
        <v>132.30000000000001</v>
      </c>
      <c r="G10" s="92">
        <v>132.30000000000001</v>
      </c>
      <c r="H10" s="91">
        <v>132.30000000000001</v>
      </c>
      <c r="I10" s="92">
        <v>132.30000000000001</v>
      </c>
      <c r="J10" s="91">
        <v>132.30000000000001</v>
      </c>
      <c r="K10" s="92">
        <v>132.30000000000001</v>
      </c>
      <c r="L10" s="55" t="s">
        <v>18</v>
      </c>
      <c r="M10" s="56" t="s">
        <v>17</v>
      </c>
      <c r="N10" s="55" t="s">
        <v>15</v>
      </c>
      <c r="O10" s="66" t="s">
        <v>421</v>
      </c>
      <c r="P10" s="87"/>
      <c r="Q10" s="87"/>
      <c r="R10" s="87"/>
      <c r="S10" s="87"/>
      <c r="T10" s="87"/>
      <c r="U10" s="8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row>
    <row r="11" spans="1:107" s="54" customFormat="1" ht="15.75" thickBot="1">
      <c r="A11" s="65" t="s">
        <v>40</v>
      </c>
      <c r="B11" s="91">
        <v>52.5</v>
      </c>
      <c r="C11" s="92">
        <v>52.5</v>
      </c>
      <c r="D11" s="91">
        <v>52.5</v>
      </c>
      <c r="E11" s="92">
        <v>52.5</v>
      </c>
      <c r="F11" s="91">
        <v>52.5</v>
      </c>
      <c r="G11" s="92">
        <v>52.5</v>
      </c>
      <c r="H11" s="91">
        <v>52.5</v>
      </c>
      <c r="I11" s="92">
        <v>52.5</v>
      </c>
      <c r="J11" s="91">
        <v>52.5</v>
      </c>
      <c r="K11" s="92">
        <v>52.5</v>
      </c>
      <c r="L11" s="55" t="s">
        <v>18</v>
      </c>
      <c r="M11" s="56" t="s">
        <v>17</v>
      </c>
      <c r="N11" s="55" t="s">
        <v>15</v>
      </c>
      <c r="O11" s="66" t="s">
        <v>421</v>
      </c>
      <c r="P11" s="87"/>
      <c r="Q11" s="87"/>
      <c r="R11" s="87"/>
      <c r="S11" s="87"/>
      <c r="T11" s="87"/>
      <c r="U11" s="8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row>
    <row r="12" spans="1:107" s="54" customFormat="1" ht="15.75" thickBot="1">
      <c r="A12" s="65" t="s">
        <v>43</v>
      </c>
      <c r="B12" s="91">
        <v>216</v>
      </c>
      <c r="C12" s="92">
        <v>216</v>
      </c>
      <c r="D12" s="91">
        <v>216</v>
      </c>
      <c r="E12" s="92">
        <v>216</v>
      </c>
      <c r="F12" s="91">
        <v>216</v>
      </c>
      <c r="G12" s="92">
        <v>216</v>
      </c>
      <c r="H12" s="91">
        <v>216</v>
      </c>
      <c r="I12" s="92">
        <v>216</v>
      </c>
      <c r="J12" s="91">
        <v>216</v>
      </c>
      <c r="K12" s="92">
        <v>216</v>
      </c>
      <c r="L12" s="55" t="s">
        <v>13</v>
      </c>
      <c r="M12" s="56" t="s">
        <v>405</v>
      </c>
      <c r="N12" s="55" t="s">
        <v>15</v>
      </c>
      <c r="O12" s="66" t="s">
        <v>421</v>
      </c>
      <c r="P12" s="87"/>
      <c r="Q12" s="87"/>
      <c r="R12" s="87"/>
      <c r="S12" s="87"/>
      <c r="T12" s="87"/>
      <c r="U12" s="8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row>
    <row r="13" spans="1:107" s="54" customFormat="1" ht="15.75" thickBot="1">
      <c r="A13" s="65" t="s">
        <v>408</v>
      </c>
      <c r="B13" s="91">
        <v>0</v>
      </c>
      <c r="C13" s="92">
        <v>0</v>
      </c>
      <c r="D13" s="91">
        <v>0</v>
      </c>
      <c r="E13" s="92">
        <v>0</v>
      </c>
      <c r="F13" s="91">
        <v>0</v>
      </c>
      <c r="G13" s="92">
        <v>0</v>
      </c>
      <c r="H13" s="91">
        <v>0</v>
      </c>
      <c r="I13" s="92">
        <v>0</v>
      </c>
      <c r="J13" s="91">
        <v>0</v>
      </c>
      <c r="K13" s="92">
        <v>0</v>
      </c>
      <c r="L13" s="55" t="s">
        <v>13</v>
      </c>
      <c r="M13" s="56" t="s">
        <v>405</v>
      </c>
      <c r="N13" s="55" t="s">
        <v>15</v>
      </c>
      <c r="O13" s="66" t="s">
        <v>421</v>
      </c>
      <c r="P13" s="87"/>
      <c r="Q13" s="87"/>
      <c r="R13" s="87"/>
      <c r="S13" s="87"/>
      <c r="T13" s="87"/>
      <c r="U13" s="8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row>
    <row r="14" spans="1:107" s="54" customFormat="1" ht="15.75" thickBot="1">
      <c r="A14" s="65" t="s">
        <v>46</v>
      </c>
      <c r="B14" s="91">
        <v>94.5</v>
      </c>
      <c r="C14" s="92">
        <v>94.5</v>
      </c>
      <c r="D14" s="91">
        <v>94.5</v>
      </c>
      <c r="E14" s="92">
        <v>94.5</v>
      </c>
      <c r="F14" s="91">
        <v>94.5</v>
      </c>
      <c r="G14" s="92">
        <v>94.5</v>
      </c>
      <c r="H14" s="91">
        <v>94.5</v>
      </c>
      <c r="I14" s="92">
        <v>94.5</v>
      </c>
      <c r="J14" s="91">
        <v>94.5</v>
      </c>
      <c r="K14" s="92">
        <v>94.5</v>
      </c>
      <c r="L14" s="55" t="s">
        <v>18</v>
      </c>
      <c r="M14" s="56" t="s">
        <v>17</v>
      </c>
      <c r="N14" s="55" t="s">
        <v>15</v>
      </c>
      <c r="O14" s="66" t="s">
        <v>421</v>
      </c>
      <c r="P14" s="87"/>
      <c r="Q14" s="87"/>
      <c r="R14" s="87"/>
      <c r="S14" s="87"/>
      <c r="T14" s="87"/>
      <c r="U14" s="8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row>
    <row r="15" spans="1:107" s="54" customFormat="1" ht="15.75" thickBot="1">
      <c r="A15" s="65" t="s">
        <v>49</v>
      </c>
      <c r="B15" s="91">
        <v>71.400000000000006</v>
      </c>
      <c r="C15" s="92">
        <v>71.400000000000006</v>
      </c>
      <c r="D15" s="91">
        <v>71.400000000000006</v>
      </c>
      <c r="E15" s="92">
        <v>71.400000000000006</v>
      </c>
      <c r="F15" s="91">
        <v>71.400000000000006</v>
      </c>
      <c r="G15" s="92">
        <v>71.400000000000006</v>
      </c>
      <c r="H15" s="91">
        <v>71.400000000000006</v>
      </c>
      <c r="I15" s="92">
        <v>71.400000000000006</v>
      </c>
      <c r="J15" s="91">
        <v>71.400000000000006</v>
      </c>
      <c r="K15" s="92">
        <v>71.400000000000006</v>
      </c>
      <c r="L15" s="55" t="s">
        <v>18</v>
      </c>
      <c r="M15" s="56" t="s">
        <v>17</v>
      </c>
      <c r="N15" s="55" t="s">
        <v>15</v>
      </c>
      <c r="O15" s="66" t="s">
        <v>421</v>
      </c>
      <c r="P15" s="87"/>
      <c r="Q15" s="87"/>
      <c r="R15" s="87"/>
      <c r="S15" s="87"/>
      <c r="T15" s="87"/>
      <c r="U15" s="8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row>
    <row r="16" spans="1:107" s="54" customFormat="1" ht="15.75" thickBot="1">
      <c r="A16" s="65" t="s">
        <v>52</v>
      </c>
      <c r="B16" s="91">
        <v>100</v>
      </c>
      <c r="C16" s="92">
        <v>100</v>
      </c>
      <c r="D16" s="91">
        <v>100</v>
      </c>
      <c r="E16" s="92">
        <v>100</v>
      </c>
      <c r="F16" s="91">
        <v>100</v>
      </c>
      <c r="G16" s="92">
        <v>100</v>
      </c>
      <c r="H16" s="91">
        <v>100</v>
      </c>
      <c r="I16" s="92">
        <v>100</v>
      </c>
      <c r="J16" s="91">
        <v>100</v>
      </c>
      <c r="K16" s="92">
        <v>100</v>
      </c>
      <c r="L16" s="55" t="s">
        <v>13</v>
      </c>
      <c r="M16" s="56" t="s">
        <v>570</v>
      </c>
      <c r="N16" s="55" t="s">
        <v>15</v>
      </c>
      <c r="O16" s="66" t="s">
        <v>421</v>
      </c>
      <c r="P16" s="87"/>
      <c r="Q16" s="87"/>
      <c r="R16" s="87"/>
      <c r="S16" s="87"/>
      <c r="T16" s="87"/>
      <c r="U16" s="8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row>
    <row r="17" spans="1:107" s="54" customFormat="1" ht="15.75" thickBot="1">
      <c r="A17" s="65" t="s">
        <v>54</v>
      </c>
      <c r="B17" s="91">
        <v>100</v>
      </c>
      <c r="C17" s="92">
        <v>100</v>
      </c>
      <c r="D17" s="91">
        <v>100</v>
      </c>
      <c r="E17" s="92">
        <v>100</v>
      </c>
      <c r="F17" s="91">
        <v>100</v>
      </c>
      <c r="G17" s="92">
        <v>100</v>
      </c>
      <c r="H17" s="91">
        <v>100</v>
      </c>
      <c r="I17" s="92">
        <v>100</v>
      </c>
      <c r="J17" s="91">
        <v>100</v>
      </c>
      <c r="K17" s="92">
        <v>100</v>
      </c>
      <c r="L17" s="55" t="s">
        <v>18</v>
      </c>
      <c r="M17" s="56" t="s">
        <v>17</v>
      </c>
      <c r="N17" s="55" t="s">
        <v>15</v>
      </c>
      <c r="O17" s="66" t="s">
        <v>421</v>
      </c>
      <c r="P17" s="87"/>
      <c r="Q17" s="87"/>
      <c r="R17" s="87"/>
      <c r="S17" s="87"/>
      <c r="T17" s="87"/>
      <c r="U17" s="8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row>
    <row r="18" spans="1:107" s="54" customFormat="1" ht="15.75" thickBot="1">
      <c r="A18" s="65" t="s">
        <v>57</v>
      </c>
      <c r="B18" s="91">
        <v>100</v>
      </c>
      <c r="C18" s="92">
        <v>100</v>
      </c>
      <c r="D18" s="91">
        <v>100</v>
      </c>
      <c r="E18" s="92">
        <v>100</v>
      </c>
      <c r="F18" s="91">
        <v>100</v>
      </c>
      <c r="G18" s="92">
        <v>100</v>
      </c>
      <c r="H18" s="91">
        <v>100</v>
      </c>
      <c r="I18" s="92">
        <v>100</v>
      </c>
      <c r="J18" s="91">
        <v>100</v>
      </c>
      <c r="K18" s="92">
        <v>100</v>
      </c>
      <c r="L18" s="55" t="s">
        <v>18</v>
      </c>
      <c r="M18" s="56" t="s">
        <v>17</v>
      </c>
      <c r="N18" s="55" t="s">
        <v>15</v>
      </c>
      <c r="O18" s="66" t="s">
        <v>421</v>
      </c>
      <c r="P18" s="87"/>
      <c r="Q18" s="87"/>
      <c r="R18" s="87"/>
      <c r="S18" s="87"/>
      <c r="T18" s="87"/>
      <c r="U18" s="8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row>
    <row r="19" spans="1:107" s="54" customFormat="1" ht="15.75" thickBot="1">
      <c r="A19" s="65" t="s">
        <v>59</v>
      </c>
      <c r="B19" s="91">
        <v>109</v>
      </c>
      <c r="C19" s="92">
        <v>109</v>
      </c>
      <c r="D19" s="91">
        <v>109</v>
      </c>
      <c r="E19" s="92">
        <v>109</v>
      </c>
      <c r="F19" s="91">
        <v>109</v>
      </c>
      <c r="G19" s="92">
        <v>109</v>
      </c>
      <c r="H19" s="91">
        <v>109</v>
      </c>
      <c r="I19" s="92">
        <v>109</v>
      </c>
      <c r="J19" s="91">
        <v>109</v>
      </c>
      <c r="K19" s="92">
        <v>109</v>
      </c>
      <c r="L19" s="55" t="s">
        <v>18</v>
      </c>
      <c r="M19" s="56" t="s">
        <v>17</v>
      </c>
      <c r="N19" s="55" t="s">
        <v>15</v>
      </c>
      <c r="O19" s="66" t="s">
        <v>421</v>
      </c>
      <c r="P19" s="87"/>
      <c r="Q19" s="87"/>
      <c r="R19" s="87"/>
      <c r="S19" s="87"/>
      <c r="T19" s="87"/>
      <c r="U19" s="8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row>
    <row r="20" spans="1:107" s="54" customFormat="1" ht="15.75" thickBot="1">
      <c r="A20" s="65" t="s">
        <v>62</v>
      </c>
      <c r="B20" s="91">
        <v>84</v>
      </c>
      <c r="C20" s="92">
        <v>84</v>
      </c>
      <c r="D20" s="91">
        <v>84</v>
      </c>
      <c r="E20" s="92">
        <v>84</v>
      </c>
      <c r="F20" s="91">
        <v>84</v>
      </c>
      <c r="G20" s="92">
        <v>84</v>
      </c>
      <c r="H20" s="91">
        <v>84</v>
      </c>
      <c r="I20" s="92">
        <v>84</v>
      </c>
      <c r="J20" s="91">
        <v>84</v>
      </c>
      <c r="K20" s="92">
        <v>84</v>
      </c>
      <c r="L20" s="55" t="s">
        <v>13</v>
      </c>
      <c r="M20" s="56" t="s">
        <v>405</v>
      </c>
      <c r="N20" s="55" t="s">
        <v>15</v>
      </c>
      <c r="O20" s="66" t="s">
        <v>421</v>
      </c>
      <c r="P20" s="87"/>
      <c r="Q20" s="87"/>
      <c r="R20" s="87"/>
      <c r="S20" s="87"/>
      <c r="T20" s="87"/>
      <c r="U20" s="8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row>
    <row r="21" spans="1:107" s="54" customFormat="1" ht="15.75" thickBot="1">
      <c r="A21" s="65" t="s">
        <v>64</v>
      </c>
      <c r="B21" s="91">
        <v>159</v>
      </c>
      <c r="C21" s="92">
        <v>159</v>
      </c>
      <c r="D21" s="91">
        <v>159</v>
      </c>
      <c r="E21" s="92">
        <v>159</v>
      </c>
      <c r="F21" s="91">
        <v>159</v>
      </c>
      <c r="G21" s="92">
        <v>159</v>
      </c>
      <c r="H21" s="91">
        <v>159</v>
      </c>
      <c r="I21" s="92">
        <v>159</v>
      </c>
      <c r="J21" s="91">
        <v>159</v>
      </c>
      <c r="K21" s="92">
        <v>159</v>
      </c>
      <c r="L21" s="55" t="s">
        <v>18</v>
      </c>
      <c r="M21" s="56" t="s">
        <v>17</v>
      </c>
      <c r="N21" s="55" t="s">
        <v>15</v>
      </c>
      <c r="O21" s="66" t="s">
        <v>421</v>
      </c>
      <c r="P21" s="87"/>
      <c r="Q21" s="87"/>
      <c r="R21" s="87"/>
      <c r="S21" s="87"/>
      <c r="T21" s="87"/>
      <c r="U21" s="8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row>
    <row r="22" spans="1:107" s="54" customFormat="1" ht="15.75" thickBot="1">
      <c r="A22" s="65" t="s">
        <v>67</v>
      </c>
      <c r="B22" s="91">
        <v>39</v>
      </c>
      <c r="C22" s="92">
        <v>39</v>
      </c>
      <c r="D22" s="91">
        <v>39</v>
      </c>
      <c r="E22" s="92">
        <v>39</v>
      </c>
      <c r="F22" s="91">
        <v>39</v>
      </c>
      <c r="G22" s="92">
        <v>39</v>
      </c>
      <c r="H22" s="91">
        <v>39</v>
      </c>
      <c r="I22" s="92">
        <v>39</v>
      </c>
      <c r="J22" s="91">
        <v>39</v>
      </c>
      <c r="K22" s="92">
        <v>39</v>
      </c>
      <c r="L22" s="55" t="s">
        <v>18</v>
      </c>
      <c r="M22" s="56" t="s">
        <v>17</v>
      </c>
      <c r="N22" s="55" t="s">
        <v>15</v>
      </c>
      <c r="O22" s="66" t="s">
        <v>421</v>
      </c>
      <c r="P22" s="87"/>
      <c r="Q22" s="87"/>
      <c r="R22" s="87"/>
      <c r="S22" s="87"/>
      <c r="T22" s="87"/>
      <c r="U22" s="8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row>
    <row r="23" spans="1:107" s="54" customFormat="1" ht="15.75" thickBot="1">
      <c r="A23" s="65" t="s">
        <v>579</v>
      </c>
      <c r="B23" s="91">
        <v>25</v>
      </c>
      <c r="C23" s="92">
        <v>25</v>
      </c>
      <c r="D23" s="91">
        <v>25</v>
      </c>
      <c r="E23" s="92">
        <v>25</v>
      </c>
      <c r="F23" s="91">
        <v>25</v>
      </c>
      <c r="G23" s="92">
        <v>25</v>
      </c>
      <c r="H23" s="91">
        <v>25</v>
      </c>
      <c r="I23" s="92">
        <v>25</v>
      </c>
      <c r="J23" s="91">
        <v>25</v>
      </c>
      <c r="K23" s="92">
        <v>25</v>
      </c>
      <c r="L23" s="55" t="s">
        <v>13</v>
      </c>
      <c r="M23" s="56" t="s">
        <v>573</v>
      </c>
      <c r="N23" s="55" t="s">
        <v>15</v>
      </c>
      <c r="O23" s="66" t="s">
        <v>421</v>
      </c>
      <c r="P23" s="87"/>
      <c r="Q23" s="87"/>
      <c r="R23" s="87"/>
      <c r="S23" s="87"/>
      <c r="T23" s="87"/>
      <c r="U23" s="8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row>
    <row r="24" spans="1:107" s="54" customFormat="1" ht="15.75" thickBot="1">
      <c r="A24" s="65" t="s">
        <v>101</v>
      </c>
      <c r="B24" s="91">
        <v>126</v>
      </c>
      <c r="C24" s="92">
        <v>126</v>
      </c>
      <c r="D24" s="91">
        <v>126</v>
      </c>
      <c r="E24" s="92">
        <v>126</v>
      </c>
      <c r="F24" s="91">
        <v>126</v>
      </c>
      <c r="G24" s="92">
        <v>126</v>
      </c>
      <c r="H24" s="91">
        <v>126</v>
      </c>
      <c r="I24" s="92">
        <v>126</v>
      </c>
      <c r="J24" s="91">
        <v>126</v>
      </c>
      <c r="K24" s="92">
        <v>126</v>
      </c>
      <c r="L24" s="55" t="s">
        <v>18</v>
      </c>
      <c r="M24" s="56" t="s">
        <v>17</v>
      </c>
      <c r="N24" s="55" t="s">
        <v>15</v>
      </c>
      <c r="O24" s="66" t="s">
        <v>421</v>
      </c>
      <c r="P24" s="87"/>
      <c r="Q24" s="87"/>
      <c r="R24" s="87"/>
      <c r="S24" s="87"/>
      <c r="T24" s="87"/>
      <c r="U24" s="8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row>
    <row r="25" spans="1:107" s="54" customFormat="1" ht="15.75" thickBot="1">
      <c r="A25" s="65" t="s">
        <v>70</v>
      </c>
      <c r="B25" s="91">
        <v>20.7</v>
      </c>
      <c r="C25" s="92">
        <v>20.7</v>
      </c>
      <c r="D25" s="91">
        <v>20.7</v>
      </c>
      <c r="E25" s="92">
        <v>20.7</v>
      </c>
      <c r="F25" s="91">
        <v>20.7</v>
      </c>
      <c r="G25" s="92">
        <v>20.7</v>
      </c>
      <c r="H25" s="91">
        <v>20.7</v>
      </c>
      <c r="I25" s="92">
        <v>20.7</v>
      </c>
      <c r="J25" s="91">
        <v>20.7</v>
      </c>
      <c r="K25" s="92">
        <v>20.7</v>
      </c>
      <c r="L25" s="55" t="s">
        <v>13</v>
      </c>
      <c r="M25" s="56" t="s">
        <v>405</v>
      </c>
      <c r="N25" s="55" t="s">
        <v>15</v>
      </c>
      <c r="O25" s="66" t="s">
        <v>421</v>
      </c>
      <c r="P25" s="87"/>
      <c r="Q25" s="87"/>
      <c r="R25" s="87"/>
      <c r="S25" s="87"/>
      <c r="T25" s="87"/>
      <c r="U25" s="8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row>
    <row r="26" spans="1:107" s="54" customFormat="1" ht="15.75" thickBot="1">
      <c r="A26" s="65" t="s">
        <v>72</v>
      </c>
      <c r="B26" s="91">
        <v>90</v>
      </c>
      <c r="C26" s="92">
        <v>90</v>
      </c>
      <c r="D26" s="91">
        <v>90</v>
      </c>
      <c r="E26" s="92">
        <v>90</v>
      </c>
      <c r="F26" s="91">
        <v>90</v>
      </c>
      <c r="G26" s="92">
        <v>90</v>
      </c>
      <c r="H26" s="91">
        <v>90</v>
      </c>
      <c r="I26" s="92">
        <v>90</v>
      </c>
      <c r="J26" s="91">
        <v>90</v>
      </c>
      <c r="K26" s="92">
        <v>90</v>
      </c>
      <c r="L26" s="55" t="s">
        <v>13</v>
      </c>
      <c r="M26" s="56" t="s">
        <v>405</v>
      </c>
      <c r="N26" s="55" t="s">
        <v>15</v>
      </c>
      <c r="O26" s="66" t="s">
        <v>421</v>
      </c>
      <c r="P26" s="87"/>
      <c r="Q26" s="87"/>
      <c r="R26" s="87"/>
      <c r="S26" s="87"/>
      <c r="T26" s="87"/>
      <c r="U26" s="8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row>
    <row r="27" spans="1:107" s="54" customFormat="1" ht="15.75" thickBot="1">
      <c r="A27" s="65" t="s">
        <v>74</v>
      </c>
      <c r="B27" s="91">
        <v>188</v>
      </c>
      <c r="C27" s="92">
        <v>188</v>
      </c>
      <c r="D27" s="91">
        <v>188</v>
      </c>
      <c r="E27" s="92">
        <v>188</v>
      </c>
      <c r="F27" s="91">
        <v>188</v>
      </c>
      <c r="G27" s="92">
        <v>188</v>
      </c>
      <c r="H27" s="91">
        <v>188</v>
      </c>
      <c r="I27" s="92">
        <v>188</v>
      </c>
      <c r="J27" s="91">
        <v>188</v>
      </c>
      <c r="K27" s="92">
        <v>188</v>
      </c>
      <c r="L27" s="55" t="s">
        <v>13</v>
      </c>
      <c r="M27" s="56" t="s">
        <v>405</v>
      </c>
      <c r="N27" s="55" t="s">
        <v>15</v>
      </c>
      <c r="O27" s="66" t="s">
        <v>421</v>
      </c>
      <c r="P27" s="87"/>
      <c r="Q27" s="87"/>
      <c r="R27" s="87"/>
      <c r="S27" s="87"/>
      <c r="T27" s="87"/>
      <c r="U27" s="8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row>
    <row r="28" spans="1:107" s="54" customFormat="1" ht="15.75" thickBot="1">
      <c r="A28" s="65" t="s">
        <v>77</v>
      </c>
      <c r="B28" s="91">
        <v>529</v>
      </c>
      <c r="C28" s="92">
        <v>529</v>
      </c>
      <c r="D28" s="91">
        <v>529</v>
      </c>
      <c r="E28" s="92">
        <v>529</v>
      </c>
      <c r="F28" s="91">
        <v>529</v>
      </c>
      <c r="G28" s="92">
        <v>529</v>
      </c>
      <c r="H28" s="91">
        <v>529</v>
      </c>
      <c r="I28" s="92">
        <v>529</v>
      </c>
      <c r="J28" s="91">
        <v>529</v>
      </c>
      <c r="K28" s="92">
        <v>529</v>
      </c>
      <c r="L28" s="55" t="s">
        <v>13</v>
      </c>
      <c r="M28" s="56" t="s">
        <v>405</v>
      </c>
      <c r="N28" s="55" t="s">
        <v>15</v>
      </c>
      <c r="O28" s="66" t="s">
        <v>421</v>
      </c>
      <c r="P28" s="87"/>
      <c r="Q28" s="87"/>
      <c r="R28" s="87"/>
      <c r="S28" s="87"/>
      <c r="T28" s="87"/>
      <c r="U28" s="8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row>
    <row r="29" spans="1:107" s="54" customFormat="1" ht="15.75" thickBot="1">
      <c r="A29" s="65" t="s">
        <v>79</v>
      </c>
      <c r="B29" s="91">
        <v>73.5</v>
      </c>
      <c r="C29" s="92">
        <v>73.5</v>
      </c>
      <c r="D29" s="91">
        <v>73.5</v>
      </c>
      <c r="E29" s="92">
        <v>73.5</v>
      </c>
      <c r="F29" s="91">
        <v>73.5</v>
      </c>
      <c r="G29" s="92">
        <v>73.5</v>
      </c>
      <c r="H29" s="91">
        <v>73.5</v>
      </c>
      <c r="I29" s="92">
        <v>73.5</v>
      </c>
      <c r="J29" s="91">
        <v>73.5</v>
      </c>
      <c r="K29" s="92">
        <v>73.5</v>
      </c>
      <c r="L29" s="55" t="s">
        <v>13</v>
      </c>
      <c r="M29" s="56" t="s">
        <v>405</v>
      </c>
      <c r="N29" s="55" t="s">
        <v>15</v>
      </c>
      <c r="O29" s="66" t="s">
        <v>421</v>
      </c>
      <c r="P29" s="87"/>
      <c r="Q29" s="87"/>
      <c r="R29" s="87"/>
      <c r="S29" s="87"/>
      <c r="T29" s="87"/>
      <c r="U29" s="8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row>
    <row r="30" spans="1:107" s="54" customFormat="1" ht="15.75" thickBot="1">
      <c r="A30" s="65" t="s">
        <v>80</v>
      </c>
      <c r="B30" s="91">
        <v>57.6</v>
      </c>
      <c r="C30" s="92">
        <v>57.6</v>
      </c>
      <c r="D30" s="91">
        <v>57.6</v>
      </c>
      <c r="E30" s="92">
        <v>57.6</v>
      </c>
      <c r="F30" s="91">
        <v>57.6</v>
      </c>
      <c r="G30" s="92">
        <v>57.6</v>
      </c>
      <c r="H30" s="91">
        <v>57.6</v>
      </c>
      <c r="I30" s="92">
        <v>57.6</v>
      </c>
      <c r="J30" s="91">
        <v>57.6</v>
      </c>
      <c r="K30" s="92">
        <v>57.6</v>
      </c>
      <c r="L30" s="55" t="s">
        <v>13</v>
      </c>
      <c r="M30" s="56" t="s">
        <v>405</v>
      </c>
      <c r="N30" s="55" t="s">
        <v>15</v>
      </c>
      <c r="O30" s="66" t="s">
        <v>421</v>
      </c>
      <c r="P30" s="87"/>
      <c r="Q30" s="87"/>
      <c r="R30" s="87"/>
      <c r="S30" s="87"/>
      <c r="T30" s="87"/>
      <c r="U30" s="8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row>
    <row r="31" spans="1:107" s="54" customFormat="1" ht="15.75" thickBot="1">
      <c r="A31" s="65" t="s">
        <v>82</v>
      </c>
      <c r="B31" s="91">
        <v>221</v>
      </c>
      <c r="C31" s="92">
        <v>221</v>
      </c>
      <c r="D31" s="91">
        <v>221</v>
      </c>
      <c r="E31" s="92">
        <v>221</v>
      </c>
      <c r="F31" s="91">
        <v>221</v>
      </c>
      <c r="G31" s="92">
        <v>221</v>
      </c>
      <c r="H31" s="91">
        <v>221</v>
      </c>
      <c r="I31" s="92">
        <v>221</v>
      </c>
      <c r="J31" s="91">
        <v>221</v>
      </c>
      <c r="K31" s="92">
        <v>221</v>
      </c>
      <c r="L31" s="55" t="s">
        <v>13</v>
      </c>
      <c r="M31" s="56" t="s">
        <v>405</v>
      </c>
      <c r="N31" s="55" t="s">
        <v>15</v>
      </c>
      <c r="O31" s="66" t="s">
        <v>421</v>
      </c>
      <c r="P31" s="87"/>
      <c r="Q31" s="87"/>
      <c r="R31" s="87"/>
      <c r="S31" s="87"/>
      <c r="T31" s="87"/>
      <c r="U31" s="8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row>
    <row r="32" spans="1:107" s="54" customFormat="1" ht="15.75" thickBot="1">
      <c r="A32" s="65" t="s">
        <v>538</v>
      </c>
      <c r="B32" s="91">
        <v>270</v>
      </c>
      <c r="C32" s="92">
        <v>270</v>
      </c>
      <c r="D32" s="91">
        <v>270</v>
      </c>
      <c r="E32" s="92">
        <v>270</v>
      </c>
      <c r="F32" s="91">
        <v>270</v>
      </c>
      <c r="G32" s="92">
        <v>270</v>
      </c>
      <c r="H32" s="91">
        <v>270</v>
      </c>
      <c r="I32" s="92">
        <v>270</v>
      </c>
      <c r="J32" s="91">
        <v>270</v>
      </c>
      <c r="K32" s="92">
        <v>270</v>
      </c>
      <c r="L32" s="55" t="s">
        <v>18</v>
      </c>
      <c r="M32" s="56" t="s">
        <v>17</v>
      </c>
      <c r="N32" s="55" t="s">
        <v>15</v>
      </c>
      <c r="O32" s="66" t="s">
        <v>421</v>
      </c>
      <c r="P32" s="87"/>
      <c r="Q32" s="87"/>
      <c r="R32" s="87"/>
      <c r="S32" s="87"/>
      <c r="T32" s="87"/>
      <c r="U32" s="8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row>
    <row r="33" spans="1:107" s="54" customFormat="1" ht="15.75" thickBot="1">
      <c r="A33" s="65" t="s">
        <v>539</v>
      </c>
      <c r="B33" s="91">
        <v>98.7</v>
      </c>
      <c r="C33" s="92">
        <v>98.7</v>
      </c>
      <c r="D33" s="91">
        <v>98.7</v>
      </c>
      <c r="E33" s="92">
        <v>98.7</v>
      </c>
      <c r="F33" s="91">
        <v>98.7</v>
      </c>
      <c r="G33" s="92">
        <v>98.7</v>
      </c>
      <c r="H33" s="91">
        <v>98.7</v>
      </c>
      <c r="I33" s="92">
        <v>98.7</v>
      </c>
      <c r="J33" s="91">
        <v>98.7</v>
      </c>
      <c r="K33" s="92">
        <v>98.7</v>
      </c>
      <c r="L33" s="55" t="s">
        <v>18</v>
      </c>
      <c r="M33" s="56" t="s">
        <v>17</v>
      </c>
      <c r="N33" s="55" t="s">
        <v>15</v>
      </c>
      <c r="O33" s="66" t="s">
        <v>421</v>
      </c>
      <c r="P33" s="87"/>
      <c r="Q33" s="87"/>
      <c r="R33" s="87"/>
      <c r="S33" s="87"/>
      <c r="T33" s="87"/>
      <c r="U33" s="8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row>
    <row r="34" spans="1:107" s="54" customFormat="1" ht="15.75" thickBot="1">
      <c r="A34" s="65" t="s">
        <v>87</v>
      </c>
      <c r="B34" s="91">
        <v>63</v>
      </c>
      <c r="C34" s="92">
        <v>63</v>
      </c>
      <c r="D34" s="91">
        <v>63</v>
      </c>
      <c r="E34" s="92">
        <v>63</v>
      </c>
      <c r="F34" s="91">
        <v>63</v>
      </c>
      <c r="G34" s="92">
        <v>63</v>
      </c>
      <c r="H34" s="91">
        <v>63</v>
      </c>
      <c r="I34" s="92">
        <v>63</v>
      </c>
      <c r="J34" s="91">
        <v>63</v>
      </c>
      <c r="K34" s="92">
        <v>63</v>
      </c>
      <c r="L34" s="55" t="s">
        <v>13</v>
      </c>
      <c r="M34" s="56" t="s">
        <v>405</v>
      </c>
      <c r="N34" s="55" t="s">
        <v>15</v>
      </c>
      <c r="O34" s="66" t="s">
        <v>421</v>
      </c>
      <c r="P34" s="87"/>
      <c r="Q34" s="87"/>
      <c r="R34" s="87"/>
      <c r="S34" s="87"/>
      <c r="T34" s="87"/>
      <c r="U34" s="8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row>
    <row r="35" spans="1:107" s="54" customFormat="1" ht="15.75" thickBot="1">
      <c r="A35" s="65" t="s">
        <v>106</v>
      </c>
      <c r="B35" s="91">
        <v>95</v>
      </c>
      <c r="C35" s="92">
        <v>95</v>
      </c>
      <c r="D35" s="91">
        <v>95</v>
      </c>
      <c r="E35" s="92">
        <v>95</v>
      </c>
      <c r="F35" s="91">
        <v>95</v>
      </c>
      <c r="G35" s="92">
        <v>95</v>
      </c>
      <c r="H35" s="91">
        <v>95</v>
      </c>
      <c r="I35" s="92">
        <v>95</v>
      </c>
      <c r="J35" s="91">
        <v>95</v>
      </c>
      <c r="K35" s="92">
        <v>95</v>
      </c>
      <c r="L35" s="55" t="s">
        <v>18</v>
      </c>
      <c r="M35" s="56" t="s">
        <v>28</v>
      </c>
      <c r="N35" s="55" t="s">
        <v>15</v>
      </c>
      <c r="O35" s="66" t="s">
        <v>421</v>
      </c>
      <c r="P35" s="87"/>
      <c r="Q35" s="87"/>
      <c r="R35" s="87"/>
      <c r="S35" s="87"/>
      <c r="T35" s="87"/>
      <c r="U35" s="8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row>
    <row r="36" spans="1:107" s="54" customFormat="1" ht="15.75" thickBot="1">
      <c r="A36" s="65" t="s">
        <v>90</v>
      </c>
      <c r="B36" s="91">
        <v>480</v>
      </c>
      <c r="C36" s="92">
        <v>240</v>
      </c>
      <c r="D36" s="91">
        <v>120</v>
      </c>
      <c r="E36" s="92">
        <v>0</v>
      </c>
      <c r="F36" s="91">
        <v>0</v>
      </c>
      <c r="G36" s="92">
        <v>0</v>
      </c>
      <c r="H36" s="91">
        <v>0</v>
      </c>
      <c r="I36" s="92">
        <v>0</v>
      </c>
      <c r="J36" s="91">
        <v>0</v>
      </c>
      <c r="K36" s="92">
        <v>0</v>
      </c>
      <c r="L36" s="55" t="s">
        <v>13</v>
      </c>
      <c r="M36" s="56" t="s">
        <v>405</v>
      </c>
      <c r="N36" s="55" t="s">
        <v>15</v>
      </c>
      <c r="O36" s="66" t="s">
        <v>421</v>
      </c>
      <c r="P36" s="87"/>
      <c r="Q36" s="87"/>
      <c r="R36" s="87"/>
      <c r="S36" s="87"/>
      <c r="T36" s="87"/>
      <c r="U36" s="8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row>
    <row r="37" spans="1:107" s="54" customFormat="1" ht="15.75" thickBot="1">
      <c r="A37" s="65" t="s">
        <v>91</v>
      </c>
      <c r="B37" s="91">
        <v>800</v>
      </c>
      <c r="C37" s="92">
        <v>800</v>
      </c>
      <c r="D37" s="91">
        <v>800</v>
      </c>
      <c r="E37" s="92">
        <v>800</v>
      </c>
      <c r="F37" s="91">
        <v>800</v>
      </c>
      <c r="G37" s="92">
        <v>800</v>
      </c>
      <c r="H37" s="91">
        <v>800</v>
      </c>
      <c r="I37" s="92">
        <v>800</v>
      </c>
      <c r="J37" s="91">
        <v>800</v>
      </c>
      <c r="K37" s="92">
        <v>800</v>
      </c>
      <c r="L37" s="55" t="s">
        <v>13</v>
      </c>
      <c r="M37" s="56" t="s">
        <v>405</v>
      </c>
      <c r="N37" s="55" t="s">
        <v>15</v>
      </c>
      <c r="O37" s="66" t="s">
        <v>421</v>
      </c>
      <c r="P37" s="87"/>
      <c r="Q37" s="87"/>
      <c r="R37" s="87"/>
      <c r="S37" s="87"/>
      <c r="T37" s="87"/>
      <c r="U37" s="8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row>
    <row r="38" spans="1:107" s="54" customFormat="1" ht="15.75" thickBot="1">
      <c r="A38" s="65" t="s">
        <v>541</v>
      </c>
      <c r="B38" s="91">
        <v>130.80000000000001</v>
      </c>
      <c r="C38" s="92">
        <v>130.80000000000001</v>
      </c>
      <c r="D38" s="91">
        <v>130.80000000000001</v>
      </c>
      <c r="E38" s="92">
        <v>130.80000000000001</v>
      </c>
      <c r="F38" s="91">
        <v>130.80000000000001</v>
      </c>
      <c r="G38" s="92">
        <v>130.80000000000001</v>
      </c>
      <c r="H38" s="91">
        <v>130.80000000000001</v>
      </c>
      <c r="I38" s="92">
        <v>130.80000000000001</v>
      </c>
      <c r="J38" s="91">
        <v>130.80000000000001</v>
      </c>
      <c r="K38" s="92">
        <v>130.80000000000001</v>
      </c>
      <c r="L38" s="55" t="s">
        <v>18</v>
      </c>
      <c r="M38" s="56" t="s">
        <v>17</v>
      </c>
      <c r="N38" s="55" t="s">
        <v>15</v>
      </c>
      <c r="O38" s="66" t="s">
        <v>421</v>
      </c>
      <c r="P38" s="87"/>
      <c r="Q38" s="87"/>
      <c r="R38" s="87"/>
      <c r="S38" s="87"/>
      <c r="T38" s="87"/>
      <c r="U38" s="8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row>
    <row r="39" spans="1:107" s="54" customFormat="1" ht="15.75" thickBot="1">
      <c r="A39" s="65" t="s">
        <v>574</v>
      </c>
      <c r="B39" s="91">
        <v>119.4</v>
      </c>
      <c r="C39" s="92">
        <v>119.4</v>
      </c>
      <c r="D39" s="91">
        <v>119.4</v>
      </c>
      <c r="E39" s="92">
        <v>119.4</v>
      </c>
      <c r="F39" s="91">
        <v>119.4</v>
      </c>
      <c r="G39" s="92">
        <v>119.4</v>
      </c>
      <c r="H39" s="91">
        <v>119.4</v>
      </c>
      <c r="I39" s="92">
        <v>119.4</v>
      </c>
      <c r="J39" s="91">
        <v>119.4</v>
      </c>
      <c r="K39" s="92">
        <v>119.4</v>
      </c>
      <c r="L39" s="55" t="s">
        <v>18</v>
      </c>
      <c r="M39" s="56" t="s">
        <v>17</v>
      </c>
      <c r="N39" s="55" t="s">
        <v>15</v>
      </c>
      <c r="O39" s="66" t="s">
        <v>421</v>
      </c>
      <c r="P39" s="87"/>
      <c r="Q39" s="87"/>
      <c r="R39" s="87"/>
      <c r="S39" s="87"/>
      <c r="T39" s="87"/>
      <c r="U39" s="8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row>
    <row r="40" spans="1:107" s="54" customFormat="1" ht="15.75" thickBot="1">
      <c r="A40" s="87"/>
      <c r="B40" s="93"/>
      <c r="C40" s="93"/>
      <c r="D40" s="93"/>
      <c r="E40" s="93"/>
      <c r="F40" s="93"/>
      <c r="G40" s="93"/>
      <c r="H40" s="93"/>
      <c r="I40" s="93"/>
      <c r="J40" s="93"/>
      <c r="K40" s="93"/>
      <c r="L40" s="87"/>
      <c r="M40" s="87"/>
      <c r="N40" s="87"/>
      <c r="O40" s="87"/>
      <c r="P40" s="87"/>
      <c r="Q40" s="87"/>
      <c r="R40" s="87"/>
      <c r="S40" s="87"/>
      <c r="T40" s="87"/>
      <c r="U40" s="8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row>
    <row r="41" spans="1:107" s="54" customFormat="1" ht="15.75" thickBot="1">
      <c r="A41" s="57" t="s">
        <v>96</v>
      </c>
      <c r="B41" s="94">
        <f>SUM(wincapsalltable[2019])</f>
        <v>5145.0999999999995</v>
      </c>
      <c r="C41" s="94">
        <f>SUM(wincapsalltable[2020])</f>
        <v>5115.0999999999995</v>
      </c>
      <c r="D41" s="94">
        <f>SUM(wincapsalltable[2021])</f>
        <v>4995.0999999999995</v>
      </c>
      <c r="E41" s="94">
        <f>SUM(wincapsalltable[2022])</f>
        <v>4875.0999999999995</v>
      </c>
      <c r="F41" s="94">
        <f>SUM(wincapsalltable[2023])</f>
        <v>4875.0999999999995</v>
      </c>
      <c r="G41" s="94">
        <f>SUM(wincapsalltable[2024])</f>
        <v>4875.0999999999995</v>
      </c>
      <c r="H41" s="94">
        <f>SUM(wincapsalltable[2025])</f>
        <v>4875.0999999999995</v>
      </c>
      <c r="I41" s="94">
        <f>SUM(wincapsalltable[2026])</f>
        <v>4875.0999999999995</v>
      </c>
      <c r="J41" s="94">
        <f>SUM(wincapsalltable[2027])</f>
        <v>4875.0999999999995</v>
      </c>
      <c r="K41" s="94">
        <f>SUM(wincapsalltable[2028])</f>
        <v>4875.0999999999995</v>
      </c>
      <c r="L41" s="58"/>
      <c r="M41" s="59"/>
      <c r="N41" s="60"/>
      <c r="O41" s="60"/>
      <c r="P41" s="87"/>
      <c r="Q41" s="87"/>
      <c r="R41" s="87"/>
      <c r="S41" s="87"/>
      <c r="T41" s="87"/>
      <c r="U41" s="8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row>
    <row r="42" spans="1:107">
      <c r="B42" s="64"/>
      <c r="C42" s="64"/>
      <c r="D42" s="64"/>
      <c r="E42" s="64"/>
      <c r="F42" s="64"/>
      <c r="G42" s="64"/>
      <c r="H42" s="64"/>
      <c r="I42" s="64"/>
      <c r="J42" s="64"/>
      <c r="K42" s="64"/>
      <c r="M42" s="60"/>
      <c r="N42" s="61"/>
      <c r="O42" s="60"/>
    </row>
    <row r="43" spans="1:107" s="54" customFormat="1">
      <c r="A43" s="175" t="s">
        <v>422</v>
      </c>
      <c r="B43" s="175"/>
      <c r="C43" s="175"/>
      <c r="D43" s="175"/>
      <c r="E43" s="175"/>
      <c r="F43" s="175"/>
      <c r="G43" s="175"/>
      <c r="H43" s="175"/>
      <c r="I43" s="175"/>
      <c r="J43" s="175"/>
      <c r="K43" s="175"/>
      <c r="L43" s="175"/>
      <c r="M43" s="89"/>
      <c r="N43" s="89"/>
      <c r="O43" s="89"/>
      <c r="P43" s="60"/>
      <c r="Q43" s="60"/>
      <c r="R43" s="60"/>
      <c r="S43" s="60"/>
      <c r="T43" s="60"/>
      <c r="U43" s="60"/>
      <c r="V43" s="60"/>
      <c r="W43" s="60"/>
      <c r="X43" s="60"/>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row>
    <row r="44" spans="1:107" ht="30.75" customHeight="1">
      <c r="A44" s="175" t="s">
        <v>410</v>
      </c>
      <c r="B44" s="175"/>
      <c r="C44" s="175"/>
      <c r="D44" s="175"/>
      <c r="E44" s="175"/>
      <c r="F44" s="175"/>
      <c r="G44" s="175"/>
      <c r="H44" s="175"/>
      <c r="I44" s="175"/>
      <c r="J44" s="175"/>
      <c r="K44" s="175"/>
      <c r="L44" s="175"/>
      <c r="M44" s="89"/>
      <c r="N44" s="116"/>
      <c r="O44" s="116"/>
      <c r="P44" s="60"/>
      <c r="Q44" s="60"/>
      <c r="R44" s="60"/>
      <c r="S44" s="60"/>
      <c r="T44" s="60"/>
      <c r="U44" s="60"/>
      <c r="V44" s="60"/>
      <c r="W44" s="60"/>
      <c r="X44" s="60"/>
    </row>
    <row r="45" spans="1:107" s="90" customFormat="1" ht="45.75" customHeight="1">
      <c r="A45" s="175" t="s">
        <v>411</v>
      </c>
      <c r="B45" s="175"/>
      <c r="C45" s="175"/>
      <c r="D45" s="175"/>
      <c r="E45" s="175"/>
      <c r="F45" s="175"/>
      <c r="G45" s="175"/>
      <c r="H45" s="175"/>
      <c r="I45" s="175"/>
      <c r="J45" s="175"/>
      <c r="K45" s="175"/>
      <c r="L45" s="175"/>
      <c r="M45" s="89"/>
      <c r="N45" s="116"/>
      <c r="O45" s="116"/>
      <c r="P45" s="89"/>
      <c r="Q45" s="89"/>
      <c r="R45" s="89"/>
      <c r="S45" s="89"/>
      <c r="T45" s="89"/>
      <c r="U45" s="89"/>
      <c r="V45" s="89"/>
      <c r="W45" s="89"/>
      <c r="X45" s="89"/>
    </row>
    <row r="46" spans="1:107" s="90" customFormat="1" ht="58.5" customHeight="1">
      <c r="A46" s="175" t="s">
        <v>423</v>
      </c>
      <c r="B46" s="175"/>
      <c r="C46" s="175"/>
      <c r="D46" s="175"/>
      <c r="E46" s="175"/>
      <c r="F46" s="175"/>
      <c r="G46" s="175"/>
      <c r="H46" s="175"/>
      <c r="I46" s="175"/>
      <c r="J46" s="175"/>
      <c r="K46" s="175"/>
      <c r="L46" s="175"/>
      <c r="M46" s="89"/>
      <c r="N46" s="89"/>
      <c r="O46" s="89"/>
      <c r="P46" s="116"/>
      <c r="Q46" s="116"/>
      <c r="R46" s="116"/>
      <c r="S46" s="116"/>
      <c r="T46" s="116"/>
      <c r="U46" s="116"/>
      <c r="V46" s="89"/>
      <c r="W46" s="89"/>
      <c r="X46" s="89"/>
    </row>
    <row r="47" spans="1:107" s="90" customFormat="1" ht="67.5" customHeight="1" thickBot="1">
      <c r="A47" s="87"/>
      <c r="B47" s="87"/>
      <c r="C47" s="87"/>
      <c r="D47" s="87"/>
      <c r="E47" s="87"/>
      <c r="F47" s="87"/>
      <c r="G47" s="87"/>
      <c r="H47" s="87"/>
      <c r="I47" s="87"/>
      <c r="J47" s="87"/>
      <c r="K47" s="87"/>
      <c r="L47" s="87"/>
      <c r="M47" s="60"/>
      <c r="N47" s="60"/>
      <c r="O47" s="60"/>
      <c r="P47" s="116"/>
      <c r="Q47" s="116"/>
      <c r="R47" s="116"/>
      <c r="S47" s="116"/>
      <c r="T47" s="116"/>
      <c r="U47" s="116"/>
      <c r="V47" s="89"/>
      <c r="W47" s="89"/>
      <c r="X47" s="89"/>
    </row>
    <row r="48" spans="1:107" s="90" customFormat="1" ht="14.25" customHeight="1" thickBot="1">
      <c r="A48" s="63" t="s">
        <v>424</v>
      </c>
      <c r="B48" s="87"/>
      <c r="C48" s="87"/>
      <c r="D48" s="87"/>
      <c r="E48" s="87"/>
      <c r="F48" s="87"/>
      <c r="G48" s="87"/>
      <c r="H48" s="87"/>
      <c r="I48" s="87"/>
      <c r="J48" s="87"/>
      <c r="K48" s="87"/>
      <c r="L48" s="87"/>
      <c r="M48" s="60"/>
      <c r="N48" s="60"/>
      <c r="O48" s="60"/>
      <c r="P48" s="89"/>
      <c r="Q48" s="89"/>
      <c r="R48" s="89"/>
      <c r="S48" s="89"/>
      <c r="T48" s="89"/>
      <c r="U48" s="89"/>
      <c r="V48" s="89"/>
      <c r="W48" s="89"/>
      <c r="X48" s="89"/>
    </row>
    <row r="49" spans="1:107" ht="15.75" thickBot="1">
      <c r="A49" s="88" t="s">
        <v>402</v>
      </c>
      <c r="B49" s="88" t="s">
        <v>471</v>
      </c>
      <c r="C49" s="88" t="s">
        <v>472</v>
      </c>
      <c r="D49" s="88" t="s">
        <v>473</v>
      </c>
      <c r="E49" s="88" t="s">
        <v>474</v>
      </c>
      <c r="F49" s="88" t="s">
        <v>475</v>
      </c>
      <c r="G49" s="88" t="s">
        <v>476</v>
      </c>
      <c r="H49" s="88" t="s">
        <v>477</v>
      </c>
      <c r="I49" s="88" t="s">
        <v>478</v>
      </c>
      <c r="J49" s="88" t="s">
        <v>479</v>
      </c>
      <c r="K49" s="88" t="s">
        <v>480</v>
      </c>
      <c r="L49" s="88" t="s">
        <v>467</v>
      </c>
      <c r="M49" s="68" t="s">
        <v>403</v>
      </c>
      <c r="N49" s="68" t="s">
        <v>7</v>
      </c>
      <c r="O49" s="69" t="s">
        <v>404</v>
      </c>
      <c r="P49" s="60"/>
      <c r="Q49" s="60"/>
      <c r="R49" s="60"/>
      <c r="S49" s="60"/>
      <c r="T49" s="60"/>
      <c r="U49" s="60"/>
      <c r="V49" s="60"/>
      <c r="W49" s="60"/>
      <c r="X49" s="60"/>
    </row>
    <row r="50" spans="1:107" ht="15.75" thickBot="1">
      <c r="A50" s="65" t="s">
        <v>8</v>
      </c>
      <c r="B50" s="91">
        <v>50</v>
      </c>
      <c r="C50" s="92">
        <v>50</v>
      </c>
      <c r="D50" s="91">
        <v>50</v>
      </c>
      <c r="E50" s="92">
        <v>50</v>
      </c>
      <c r="F50" s="91">
        <v>50</v>
      </c>
      <c r="G50" s="92">
        <v>50</v>
      </c>
      <c r="H50" s="91">
        <v>50</v>
      </c>
      <c r="I50" s="92">
        <v>50</v>
      </c>
      <c r="J50" s="91">
        <v>50</v>
      </c>
      <c r="K50" s="92">
        <v>50</v>
      </c>
      <c r="L50" s="55" t="s">
        <v>13</v>
      </c>
      <c r="M50" s="56" t="s">
        <v>405</v>
      </c>
      <c r="N50" s="55" t="s">
        <v>15</v>
      </c>
      <c r="O50" s="66" t="s">
        <v>421</v>
      </c>
      <c r="P50" s="60"/>
      <c r="Q50" s="60"/>
      <c r="R50" s="60"/>
      <c r="S50" s="60"/>
      <c r="T50" s="60"/>
      <c r="U50" s="60"/>
      <c r="V50" s="60"/>
      <c r="W50" s="60"/>
      <c r="X50" s="60"/>
    </row>
    <row r="51" spans="1:107" s="54" customFormat="1" ht="15.75" thickBot="1">
      <c r="A51" s="65" t="s">
        <v>98</v>
      </c>
      <c r="B51" s="91">
        <v>0</v>
      </c>
      <c r="C51" s="92">
        <v>210</v>
      </c>
      <c r="D51" s="91">
        <v>210</v>
      </c>
      <c r="E51" s="92">
        <v>210</v>
      </c>
      <c r="F51" s="91">
        <v>210</v>
      </c>
      <c r="G51" s="92">
        <v>210</v>
      </c>
      <c r="H51" s="91">
        <v>210</v>
      </c>
      <c r="I51" s="92">
        <v>210</v>
      </c>
      <c r="J51" s="91">
        <v>210</v>
      </c>
      <c r="K51" s="92">
        <v>210</v>
      </c>
      <c r="L51" s="55" t="s">
        <v>13</v>
      </c>
      <c r="M51" s="56" t="s">
        <v>405</v>
      </c>
      <c r="N51" s="55" t="s">
        <v>15</v>
      </c>
      <c r="O51" s="66" t="s">
        <v>421</v>
      </c>
      <c r="P51" s="87"/>
      <c r="Q51" s="87"/>
      <c r="R51" s="87"/>
      <c r="S51" s="87"/>
      <c r="T51" s="87"/>
      <c r="U51" s="8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row>
    <row r="52" spans="1:107" s="54" customFormat="1" ht="15.75" thickBot="1">
      <c r="A52" s="65" t="s">
        <v>34</v>
      </c>
      <c r="B52" s="91">
        <v>143</v>
      </c>
      <c r="C52" s="92">
        <v>143</v>
      </c>
      <c r="D52" s="91">
        <v>143</v>
      </c>
      <c r="E52" s="92">
        <v>143</v>
      </c>
      <c r="F52" s="91">
        <v>143</v>
      </c>
      <c r="G52" s="92">
        <v>143</v>
      </c>
      <c r="H52" s="91">
        <v>143</v>
      </c>
      <c r="I52" s="92">
        <v>143</v>
      </c>
      <c r="J52" s="91">
        <v>143</v>
      </c>
      <c r="K52" s="92">
        <v>143</v>
      </c>
      <c r="L52" s="55" t="s">
        <v>13</v>
      </c>
      <c r="M52" s="56" t="s">
        <v>405</v>
      </c>
      <c r="N52" s="55" t="s">
        <v>15</v>
      </c>
      <c r="O52" s="66" t="s">
        <v>421</v>
      </c>
      <c r="P52" s="87"/>
      <c r="Q52" s="87"/>
      <c r="R52" s="87"/>
      <c r="S52" s="87"/>
      <c r="T52" s="87"/>
      <c r="U52" s="8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row>
    <row r="53" spans="1:107" s="54" customFormat="1" ht="15.75" thickBot="1">
      <c r="A53" s="65" t="s">
        <v>209</v>
      </c>
      <c r="B53" s="91">
        <v>30</v>
      </c>
      <c r="C53" s="92">
        <v>30</v>
      </c>
      <c r="D53" s="91">
        <v>30</v>
      </c>
      <c r="E53" s="92">
        <v>30</v>
      </c>
      <c r="F53" s="91">
        <v>30</v>
      </c>
      <c r="G53" s="92">
        <v>30</v>
      </c>
      <c r="H53" s="91">
        <v>30</v>
      </c>
      <c r="I53" s="92">
        <v>30</v>
      </c>
      <c r="J53" s="91">
        <v>30</v>
      </c>
      <c r="K53" s="92">
        <v>30</v>
      </c>
      <c r="L53" s="55" t="s">
        <v>13</v>
      </c>
      <c r="M53" s="56" t="s">
        <v>570</v>
      </c>
      <c r="N53" s="55" t="s">
        <v>15</v>
      </c>
      <c r="O53" s="66" t="s">
        <v>421</v>
      </c>
      <c r="P53" s="87"/>
      <c r="Q53" s="87"/>
      <c r="R53" s="87"/>
      <c r="S53" s="87"/>
      <c r="T53" s="87"/>
      <c r="U53" s="8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row>
    <row r="54" spans="1:107" s="54" customFormat="1" ht="15.75" thickBot="1">
      <c r="A54" s="65" t="s">
        <v>43</v>
      </c>
      <c r="B54" s="91">
        <v>216</v>
      </c>
      <c r="C54" s="92">
        <v>216</v>
      </c>
      <c r="D54" s="91">
        <v>216</v>
      </c>
      <c r="E54" s="92">
        <v>216</v>
      </c>
      <c r="F54" s="91">
        <v>216</v>
      </c>
      <c r="G54" s="92">
        <v>216</v>
      </c>
      <c r="H54" s="91">
        <v>216</v>
      </c>
      <c r="I54" s="92">
        <v>216</v>
      </c>
      <c r="J54" s="91">
        <v>216</v>
      </c>
      <c r="K54" s="92">
        <v>216</v>
      </c>
      <c r="L54" s="55" t="s">
        <v>13</v>
      </c>
      <c r="M54" s="56" t="s">
        <v>405</v>
      </c>
      <c r="N54" s="55" t="s">
        <v>15</v>
      </c>
      <c r="O54" s="66" t="s">
        <v>421</v>
      </c>
      <c r="P54" s="87"/>
      <c r="Q54" s="87"/>
      <c r="R54" s="87"/>
      <c r="S54" s="87"/>
      <c r="T54" s="87"/>
      <c r="U54" s="8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row>
    <row r="55" spans="1:107" s="54" customFormat="1" ht="15.75" thickBot="1">
      <c r="A55" s="65" t="s">
        <v>408</v>
      </c>
      <c r="B55" s="91">
        <v>0</v>
      </c>
      <c r="C55" s="92">
        <v>0</v>
      </c>
      <c r="D55" s="91">
        <v>0</v>
      </c>
      <c r="E55" s="92">
        <v>0</v>
      </c>
      <c r="F55" s="91">
        <v>0</v>
      </c>
      <c r="G55" s="92">
        <v>0</v>
      </c>
      <c r="H55" s="91">
        <v>0</v>
      </c>
      <c r="I55" s="92">
        <v>0</v>
      </c>
      <c r="J55" s="91">
        <v>0</v>
      </c>
      <c r="K55" s="92">
        <v>0</v>
      </c>
      <c r="L55" s="55" t="s">
        <v>13</v>
      </c>
      <c r="M55" s="56" t="s">
        <v>405</v>
      </c>
      <c r="N55" s="55" t="s">
        <v>15</v>
      </c>
      <c r="O55" s="66" t="s">
        <v>421</v>
      </c>
      <c r="P55" s="87"/>
      <c r="Q55" s="87"/>
      <c r="R55" s="87"/>
      <c r="S55" s="87"/>
      <c r="T55" s="87"/>
      <c r="U55" s="8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row>
    <row r="56" spans="1:107" s="54" customFormat="1" ht="15.75" thickBot="1">
      <c r="A56" s="65" t="s">
        <v>52</v>
      </c>
      <c r="B56" s="91">
        <v>100</v>
      </c>
      <c r="C56" s="92">
        <v>100</v>
      </c>
      <c r="D56" s="91">
        <v>100</v>
      </c>
      <c r="E56" s="92">
        <v>100</v>
      </c>
      <c r="F56" s="91">
        <v>100</v>
      </c>
      <c r="G56" s="92">
        <v>100</v>
      </c>
      <c r="H56" s="91">
        <v>100</v>
      </c>
      <c r="I56" s="92">
        <v>100</v>
      </c>
      <c r="J56" s="91">
        <v>100</v>
      </c>
      <c r="K56" s="92">
        <v>100</v>
      </c>
      <c r="L56" s="55" t="s">
        <v>13</v>
      </c>
      <c r="M56" s="56" t="s">
        <v>570</v>
      </c>
      <c r="N56" s="55" t="s">
        <v>15</v>
      </c>
      <c r="O56" s="66" t="s">
        <v>421</v>
      </c>
      <c r="P56" s="87"/>
      <c r="Q56" s="87"/>
      <c r="R56" s="87"/>
      <c r="S56" s="87"/>
      <c r="T56" s="87"/>
      <c r="U56" s="8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row>
    <row r="57" spans="1:107" s="54" customFormat="1" ht="15.75" thickBot="1">
      <c r="A57" s="65" t="s">
        <v>62</v>
      </c>
      <c r="B57" s="91">
        <v>84</v>
      </c>
      <c r="C57" s="92">
        <v>84</v>
      </c>
      <c r="D57" s="91">
        <v>84</v>
      </c>
      <c r="E57" s="92">
        <v>84</v>
      </c>
      <c r="F57" s="91">
        <v>84</v>
      </c>
      <c r="G57" s="92">
        <v>84</v>
      </c>
      <c r="H57" s="91">
        <v>84</v>
      </c>
      <c r="I57" s="92">
        <v>84</v>
      </c>
      <c r="J57" s="91">
        <v>84</v>
      </c>
      <c r="K57" s="92">
        <v>84</v>
      </c>
      <c r="L57" s="55" t="s">
        <v>13</v>
      </c>
      <c r="M57" s="56" t="s">
        <v>405</v>
      </c>
      <c r="N57" s="55" t="s">
        <v>15</v>
      </c>
      <c r="O57" s="66" t="s">
        <v>421</v>
      </c>
      <c r="P57" s="87"/>
      <c r="Q57" s="87"/>
      <c r="R57" s="87"/>
      <c r="S57" s="87"/>
      <c r="T57" s="87"/>
      <c r="U57" s="8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row>
    <row r="58" spans="1:107" s="54" customFormat="1" ht="15.75" thickBot="1">
      <c r="A58" s="65" t="s">
        <v>579</v>
      </c>
      <c r="B58" s="91">
        <v>25</v>
      </c>
      <c r="C58" s="92">
        <v>25</v>
      </c>
      <c r="D58" s="91">
        <v>25</v>
      </c>
      <c r="E58" s="92">
        <v>25</v>
      </c>
      <c r="F58" s="91">
        <v>25</v>
      </c>
      <c r="G58" s="92">
        <v>25</v>
      </c>
      <c r="H58" s="91">
        <v>25</v>
      </c>
      <c r="I58" s="92">
        <v>25</v>
      </c>
      <c r="J58" s="91">
        <v>25</v>
      </c>
      <c r="K58" s="92">
        <v>25</v>
      </c>
      <c r="L58" s="55" t="s">
        <v>13</v>
      </c>
      <c r="M58" s="56" t="s">
        <v>573</v>
      </c>
      <c r="N58" s="55" t="s">
        <v>15</v>
      </c>
      <c r="O58" s="66" t="s">
        <v>421</v>
      </c>
      <c r="P58" s="87"/>
      <c r="Q58" s="87"/>
      <c r="R58" s="87"/>
      <c r="S58" s="87"/>
      <c r="T58" s="87"/>
      <c r="U58" s="8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row>
    <row r="59" spans="1:107" s="54" customFormat="1" ht="15.75" thickBot="1">
      <c r="A59" s="65" t="s">
        <v>70</v>
      </c>
      <c r="B59" s="91">
        <v>20.7</v>
      </c>
      <c r="C59" s="92">
        <v>20.7</v>
      </c>
      <c r="D59" s="91">
        <v>20.7</v>
      </c>
      <c r="E59" s="92">
        <v>20.7</v>
      </c>
      <c r="F59" s="91">
        <v>20.7</v>
      </c>
      <c r="G59" s="92">
        <v>20.7</v>
      </c>
      <c r="H59" s="91">
        <v>20.7</v>
      </c>
      <c r="I59" s="92">
        <v>20.7</v>
      </c>
      <c r="J59" s="91">
        <v>20.7</v>
      </c>
      <c r="K59" s="92">
        <v>20.7</v>
      </c>
      <c r="L59" s="55" t="s">
        <v>13</v>
      </c>
      <c r="M59" s="56" t="s">
        <v>405</v>
      </c>
      <c r="N59" s="55" t="s">
        <v>15</v>
      </c>
      <c r="O59" s="66" t="s">
        <v>421</v>
      </c>
      <c r="P59" s="87"/>
      <c r="Q59" s="87"/>
      <c r="R59" s="87"/>
      <c r="S59" s="87"/>
      <c r="T59" s="87"/>
      <c r="U59" s="8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row>
    <row r="60" spans="1:107" s="54" customFormat="1" ht="15.75" thickBot="1">
      <c r="A60" s="65" t="s">
        <v>72</v>
      </c>
      <c r="B60" s="91">
        <v>90</v>
      </c>
      <c r="C60" s="92">
        <v>90</v>
      </c>
      <c r="D60" s="91">
        <v>90</v>
      </c>
      <c r="E60" s="92">
        <v>90</v>
      </c>
      <c r="F60" s="91">
        <v>90</v>
      </c>
      <c r="G60" s="92">
        <v>90</v>
      </c>
      <c r="H60" s="91">
        <v>90</v>
      </c>
      <c r="I60" s="92">
        <v>90</v>
      </c>
      <c r="J60" s="91">
        <v>90</v>
      </c>
      <c r="K60" s="92">
        <v>90</v>
      </c>
      <c r="L60" s="55" t="s">
        <v>13</v>
      </c>
      <c r="M60" s="56" t="s">
        <v>405</v>
      </c>
      <c r="N60" s="55" t="s">
        <v>15</v>
      </c>
      <c r="O60" s="66" t="s">
        <v>421</v>
      </c>
      <c r="P60" s="87"/>
      <c r="Q60" s="87"/>
      <c r="R60" s="87"/>
      <c r="S60" s="87"/>
      <c r="T60" s="87"/>
      <c r="U60" s="8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row>
    <row r="61" spans="1:107" s="54" customFormat="1" ht="15.75" thickBot="1">
      <c r="A61" s="65" t="s">
        <v>74</v>
      </c>
      <c r="B61" s="91">
        <v>188</v>
      </c>
      <c r="C61" s="92">
        <v>188</v>
      </c>
      <c r="D61" s="91">
        <v>188</v>
      </c>
      <c r="E61" s="92">
        <v>188</v>
      </c>
      <c r="F61" s="91">
        <v>188</v>
      </c>
      <c r="G61" s="92">
        <v>188</v>
      </c>
      <c r="H61" s="91">
        <v>188</v>
      </c>
      <c r="I61" s="92">
        <v>188</v>
      </c>
      <c r="J61" s="91">
        <v>188</v>
      </c>
      <c r="K61" s="92">
        <v>188</v>
      </c>
      <c r="L61" s="55" t="s">
        <v>13</v>
      </c>
      <c r="M61" s="56" t="s">
        <v>405</v>
      </c>
      <c r="N61" s="55" t="s">
        <v>15</v>
      </c>
      <c r="O61" s="66" t="s">
        <v>421</v>
      </c>
      <c r="P61" s="87"/>
      <c r="Q61" s="87"/>
      <c r="R61" s="87"/>
      <c r="S61" s="87"/>
      <c r="T61" s="87"/>
      <c r="U61" s="8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row>
    <row r="62" spans="1:107" s="54" customFormat="1" ht="15.75" thickBot="1">
      <c r="A62" s="65" t="s">
        <v>77</v>
      </c>
      <c r="B62" s="91">
        <v>529</v>
      </c>
      <c r="C62" s="92">
        <v>529</v>
      </c>
      <c r="D62" s="91">
        <v>529</v>
      </c>
      <c r="E62" s="92">
        <v>529</v>
      </c>
      <c r="F62" s="91">
        <v>529</v>
      </c>
      <c r="G62" s="92">
        <v>529</v>
      </c>
      <c r="H62" s="91">
        <v>529</v>
      </c>
      <c r="I62" s="92">
        <v>529</v>
      </c>
      <c r="J62" s="91">
        <v>529</v>
      </c>
      <c r="K62" s="92">
        <v>529</v>
      </c>
      <c r="L62" s="55" t="s">
        <v>13</v>
      </c>
      <c r="M62" s="56" t="s">
        <v>405</v>
      </c>
      <c r="N62" s="55" t="s">
        <v>15</v>
      </c>
      <c r="O62" s="66" t="s">
        <v>421</v>
      </c>
      <c r="P62" s="87"/>
      <c r="Q62" s="87"/>
      <c r="R62" s="87"/>
      <c r="S62" s="87"/>
      <c r="T62" s="87"/>
      <c r="U62" s="8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row>
    <row r="63" spans="1:107" s="54" customFormat="1" ht="15.75" thickBot="1">
      <c r="A63" s="65" t="s">
        <v>79</v>
      </c>
      <c r="B63" s="91">
        <v>73.5</v>
      </c>
      <c r="C63" s="92">
        <v>73.5</v>
      </c>
      <c r="D63" s="91">
        <v>73.5</v>
      </c>
      <c r="E63" s="92">
        <v>73.5</v>
      </c>
      <c r="F63" s="91">
        <v>73.5</v>
      </c>
      <c r="G63" s="92">
        <v>73.5</v>
      </c>
      <c r="H63" s="91">
        <v>73.5</v>
      </c>
      <c r="I63" s="92">
        <v>73.5</v>
      </c>
      <c r="J63" s="91">
        <v>73.5</v>
      </c>
      <c r="K63" s="92">
        <v>73.5</v>
      </c>
      <c r="L63" s="55" t="s">
        <v>13</v>
      </c>
      <c r="M63" s="56" t="s">
        <v>405</v>
      </c>
      <c r="N63" s="55" t="s">
        <v>15</v>
      </c>
      <c r="O63" s="66" t="s">
        <v>421</v>
      </c>
      <c r="P63" s="87"/>
      <c r="Q63" s="87"/>
      <c r="R63" s="87"/>
      <c r="S63" s="87"/>
      <c r="T63" s="87"/>
      <c r="U63" s="8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row>
    <row r="64" spans="1:107" s="54" customFormat="1" ht="15.75" thickBot="1">
      <c r="A64" s="65" t="s">
        <v>80</v>
      </c>
      <c r="B64" s="91">
        <v>57.6</v>
      </c>
      <c r="C64" s="92">
        <v>57.6</v>
      </c>
      <c r="D64" s="91">
        <v>57.6</v>
      </c>
      <c r="E64" s="92">
        <v>57.6</v>
      </c>
      <c r="F64" s="91">
        <v>57.6</v>
      </c>
      <c r="G64" s="92">
        <v>57.6</v>
      </c>
      <c r="H64" s="91">
        <v>57.6</v>
      </c>
      <c r="I64" s="92">
        <v>57.6</v>
      </c>
      <c r="J64" s="91">
        <v>57.6</v>
      </c>
      <c r="K64" s="92">
        <v>57.6</v>
      </c>
      <c r="L64" s="55" t="s">
        <v>13</v>
      </c>
      <c r="M64" s="56" t="s">
        <v>405</v>
      </c>
      <c r="N64" s="55" t="s">
        <v>15</v>
      </c>
      <c r="O64" s="66" t="s">
        <v>421</v>
      </c>
      <c r="P64" s="87"/>
      <c r="Q64" s="87"/>
      <c r="R64" s="87"/>
      <c r="S64" s="87"/>
      <c r="T64" s="87"/>
      <c r="U64" s="8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row>
    <row r="65" spans="1:107" s="54" customFormat="1" ht="15.75" thickBot="1">
      <c r="A65" s="65" t="s">
        <v>82</v>
      </c>
      <c r="B65" s="91">
        <v>221</v>
      </c>
      <c r="C65" s="92">
        <v>221</v>
      </c>
      <c r="D65" s="91">
        <v>221</v>
      </c>
      <c r="E65" s="92">
        <v>221</v>
      </c>
      <c r="F65" s="91">
        <v>221</v>
      </c>
      <c r="G65" s="92">
        <v>221</v>
      </c>
      <c r="H65" s="91">
        <v>221</v>
      </c>
      <c r="I65" s="92">
        <v>221</v>
      </c>
      <c r="J65" s="91">
        <v>221</v>
      </c>
      <c r="K65" s="92">
        <v>221</v>
      </c>
      <c r="L65" s="55" t="s">
        <v>13</v>
      </c>
      <c r="M65" s="56" t="s">
        <v>405</v>
      </c>
      <c r="N65" s="55" t="s">
        <v>15</v>
      </c>
      <c r="O65" s="66" t="s">
        <v>421</v>
      </c>
      <c r="P65" s="87"/>
      <c r="Q65" s="87"/>
      <c r="R65" s="87"/>
      <c r="S65" s="87"/>
      <c r="T65" s="87"/>
      <c r="U65" s="8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row>
    <row r="66" spans="1:107" s="54" customFormat="1" ht="15.75" thickBot="1">
      <c r="A66" s="65" t="s">
        <v>87</v>
      </c>
      <c r="B66" s="91">
        <v>63</v>
      </c>
      <c r="C66" s="92">
        <v>63</v>
      </c>
      <c r="D66" s="91">
        <v>63</v>
      </c>
      <c r="E66" s="92">
        <v>63</v>
      </c>
      <c r="F66" s="91">
        <v>63</v>
      </c>
      <c r="G66" s="92">
        <v>63</v>
      </c>
      <c r="H66" s="91">
        <v>63</v>
      </c>
      <c r="I66" s="92">
        <v>63</v>
      </c>
      <c r="J66" s="91">
        <v>63</v>
      </c>
      <c r="K66" s="92">
        <v>63</v>
      </c>
      <c r="L66" s="55" t="s">
        <v>13</v>
      </c>
      <c r="M66" s="56" t="s">
        <v>405</v>
      </c>
      <c r="N66" s="55" t="s">
        <v>15</v>
      </c>
      <c r="O66" s="66" t="s">
        <v>421</v>
      </c>
      <c r="P66" s="87"/>
      <c r="Q66" s="87"/>
      <c r="R66" s="87"/>
      <c r="S66" s="87"/>
      <c r="T66" s="87"/>
      <c r="U66" s="8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row>
    <row r="67" spans="1:107" s="54" customFormat="1" ht="15.75" thickBot="1">
      <c r="A67" s="65" t="s">
        <v>90</v>
      </c>
      <c r="B67" s="91">
        <v>480</v>
      </c>
      <c r="C67" s="92">
        <v>240</v>
      </c>
      <c r="D67" s="91">
        <v>120</v>
      </c>
      <c r="E67" s="92">
        <v>0</v>
      </c>
      <c r="F67" s="91">
        <v>0</v>
      </c>
      <c r="G67" s="92">
        <v>0</v>
      </c>
      <c r="H67" s="91">
        <v>0</v>
      </c>
      <c r="I67" s="92">
        <v>0</v>
      </c>
      <c r="J67" s="91">
        <v>0</v>
      </c>
      <c r="K67" s="92">
        <v>0</v>
      </c>
      <c r="L67" s="55" t="s">
        <v>13</v>
      </c>
      <c r="M67" s="56" t="s">
        <v>405</v>
      </c>
      <c r="N67" s="55" t="s">
        <v>15</v>
      </c>
      <c r="O67" s="66" t="s">
        <v>421</v>
      </c>
      <c r="P67" s="87"/>
      <c r="Q67" s="87"/>
      <c r="R67" s="87"/>
      <c r="S67" s="87"/>
      <c r="T67" s="87"/>
      <c r="U67" s="8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row>
    <row r="68" spans="1:107" s="54" customFormat="1" ht="15.75" thickBot="1">
      <c r="A68" s="65" t="s">
        <v>91</v>
      </c>
      <c r="B68" s="91">
        <v>800</v>
      </c>
      <c r="C68" s="92">
        <v>800</v>
      </c>
      <c r="D68" s="91">
        <v>800</v>
      </c>
      <c r="E68" s="92">
        <v>800</v>
      </c>
      <c r="F68" s="91">
        <v>800</v>
      </c>
      <c r="G68" s="92">
        <v>800</v>
      </c>
      <c r="H68" s="91">
        <v>800</v>
      </c>
      <c r="I68" s="92">
        <v>800</v>
      </c>
      <c r="J68" s="91">
        <v>800</v>
      </c>
      <c r="K68" s="92">
        <v>800</v>
      </c>
      <c r="L68" s="55" t="s">
        <v>13</v>
      </c>
      <c r="M68" s="56" t="s">
        <v>405</v>
      </c>
      <c r="N68" s="55" t="s">
        <v>15</v>
      </c>
      <c r="O68" s="66" t="s">
        <v>421</v>
      </c>
      <c r="P68" s="87"/>
      <c r="Q68" s="87"/>
      <c r="R68" s="87"/>
      <c r="S68" s="87"/>
      <c r="T68" s="87"/>
      <c r="U68" s="8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row>
    <row r="69" spans="1:107" s="54" customFormat="1" ht="15.75" thickBot="1">
      <c r="A69" s="87"/>
      <c r="B69" s="93"/>
      <c r="C69" s="93"/>
      <c r="D69" s="93"/>
      <c r="E69" s="93"/>
      <c r="F69" s="93"/>
      <c r="G69" s="93"/>
      <c r="H69" s="93"/>
      <c r="I69" s="93"/>
      <c r="J69" s="93"/>
      <c r="K69" s="93"/>
      <c r="L69" s="87"/>
      <c r="M69" s="87"/>
      <c r="N69" s="87"/>
      <c r="O69" s="87"/>
      <c r="P69" s="87"/>
      <c r="Q69" s="87"/>
      <c r="R69" s="87"/>
      <c r="S69" s="87"/>
      <c r="T69" s="87"/>
      <c r="U69" s="8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row>
    <row r="70" spans="1:107" s="54" customFormat="1" ht="15.75" thickBot="1">
      <c r="A70" s="3" t="s">
        <v>414</v>
      </c>
      <c r="B70" s="94">
        <f>SUMIF(wincapsSStable[[FuelType]:[FuelType]],"Wind",wincapsSStable[2019])*0.067</f>
        <v>111.17310000000002</v>
      </c>
      <c r="C70" s="94">
        <f>SUMIF(wincapsSStable[[FuelType]:[FuelType]],"Wind",wincapsSStable[2020])*0.067</f>
        <v>111.17310000000002</v>
      </c>
      <c r="D70" s="94">
        <f>SUMIF(wincapsSStable[[FuelType]:[FuelType]],"Wind",wincapsSStable[2021])*0.067</f>
        <v>111.17310000000002</v>
      </c>
      <c r="E70" s="94">
        <f>SUMIF(wincapsSStable[[FuelType]:[FuelType]],"Wind",wincapsSStable[2022])*0.067</f>
        <v>111.17310000000002</v>
      </c>
      <c r="F70" s="94">
        <f>SUMIF(wincapsSStable[[FuelType]:[FuelType]],"Wind",wincapsSStable[2023])*0.067</f>
        <v>111.17310000000002</v>
      </c>
      <c r="G70" s="94">
        <f>SUMIF(wincapsSStable[[FuelType]:[FuelType]],"Wind",wincapsSStable[2024])*0.067</f>
        <v>111.17310000000002</v>
      </c>
      <c r="H70" s="94">
        <f>SUMIF(wincapsSStable[[FuelType]:[FuelType]],"Wind",wincapsSStable[2025])*0.067</f>
        <v>111.17310000000002</v>
      </c>
      <c r="I70" s="94">
        <f>SUMIF(wincapsSStable[[FuelType]:[FuelType]],"Wind",wincapsSStable[2026])*0.067</f>
        <v>111.17310000000002</v>
      </c>
      <c r="J70" s="94">
        <f>SUMIF(wincapsSStable[[FuelType]:[FuelType]],"Wind",wincapsSStable[2027])*0.067</f>
        <v>111.17310000000002</v>
      </c>
      <c r="K70" s="94">
        <f>SUMIF(wincapsSStable[[FuelType]:[FuelType]],"Wind",wincapsSStable[2028])*0.067</f>
        <v>111.17310000000002</v>
      </c>
      <c r="L70" s="55" t="s">
        <v>18</v>
      </c>
      <c r="M70" s="60"/>
      <c r="N70" s="59"/>
      <c r="O70" s="60"/>
      <c r="P70" s="87"/>
      <c r="Q70" s="87"/>
      <c r="R70" s="87"/>
      <c r="S70" s="87"/>
      <c r="T70" s="87"/>
      <c r="U70" s="8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row>
    <row r="71" spans="1:107" s="54" customFormat="1" ht="15.75" thickBot="1">
      <c r="A71" s="3" t="s">
        <v>415</v>
      </c>
      <c r="B71" s="91" t="s">
        <v>416</v>
      </c>
      <c r="C71" s="92" t="s">
        <v>416</v>
      </c>
      <c r="D71" s="91" t="s">
        <v>416</v>
      </c>
      <c r="E71" s="92" t="s">
        <v>416</v>
      </c>
      <c r="F71" s="91" t="s">
        <v>416</v>
      </c>
      <c r="G71" s="92" t="s">
        <v>416</v>
      </c>
      <c r="H71" s="91" t="s">
        <v>416</v>
      </c>
      <c r="I71" s="92" t="s">
        <v>416</v>
      </c>
      <c r="J71" s="91" t="s">
        <v>416</v>
      </c>
      <c r="K71" s="92" t="s">
        <v>416</v>
      </c>
      <c r="L71" s="55" t="s">
        <v>18</v>
      </c>
      <c r="M71" s="59"/>
      <c r="N71" s="59"/>
      <c r="O71" s="60"/>
      <c r="P71" s="87"/>
      <c r="Q71" s="87"/>
      <c r="R71" s="87"/>
      <c r="S71" s="87"/>
      <c r="T71" s="87"/>
      <c r="U71" s="8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row>
    <row r="72" spans="1:107" ht="15.75" thickBot="1">
      <c r="A72" s="3" t="s">
        <v>96</v>
      </c>
      <c r="B72" s="94">
        <f>SUM(wincapsStable[2019])+B70</f>
        <v>3281.9731000000002</v>
      </c>
      <c r="C72" s="94">
        <f>SUM(wincapsStable[2020])+C70</f>
        <v>3251.9731000000002</v>
      </c>
      <c r="D72" s="94">
        <f>SUM(wincapsStable[2021])+D70</f>
        <v>3131.9731000000002</v>
      </c>
      <c r="E72" s="94">
        <f>SUM(wincapsStable[2022])+E70</f>
        <v>3011.9731000000002</v>
      </c>
      <c r="F72" s="94">
        <f>SUM(wincapsStable[2023])+F70</f>
        <v>3011.9731000000002</v>
      </c>
      <c r="G72" s="94">
        <f>SUM(wincapsStable[2024])+G70</f>
        <v>3011.9731000000002</v>
      </c>
      <c r="H72" s="94">
        <f>SUM(wincapsStable[2025])+H70</f>
        <v>3011.9731000000002</v>
      </c>
      <c r="I72" s="94">
        <f>SUM(wincapsStable[2026])+I70</f>
        <v>3011.9731000000002</v>
      </c>
      <c r="J72" s="94">
        <f>SUM(wincapsStable[2027])+J70</f>
        <v>3011.9731000000002</v>
      </c>
      <c r="K72" s="94">
        <f>SUM(wincapsStable[2028])+K70</f>
        <v>3011.9731000000002</v>
      </c>
      <c r="L72" s="58"/>
      <c r="M72" s="60"/>
      <c r="N72" s="60"/>
      <c r="O72" s="60"/>
    </row>
    <row r="73" spans="1:107" s="54" customFormat="1" ht="15.75" thickBot="1">
      <c r="A73" s="87"/>
      <c r="B73" s="64"/>
      <c r="C73" s="64"/>
      <c r="D73" s="64"/>
      <c r="E73" s="64"/>
      <c r="F73" s="64"/>
      <c r="G73" s="64"/>
      <c r="H73" s="64"/>
      <c r="I73" s="64"/>
      <c r="J73" s="64"/>
      <c r="K73" s="64"/>
      <c r="L73" s="87"/>
      <c r="M73" s="60"/>
      <c r="N73" s="60"/>
      <c r="O73" s="60"/>
      <c r="P73" s="60"/>
      <c r="Q73" s="60"/>
      <c r="R73" s="60"/>
      <c r="S73" s="60"/>
      <c r="T73" s="60"/>
      <c r="U73" s="60"/>
      <c r="V73" s="60"/>
      <c r="W73" s="60"/>
      <c r="X73" s="60"/>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row>
    <row r="74" spans="1:107" s="54" customFormat="1" ht="20.25" thickBot="1">
      <c r="A74" s="63" t="s">
        <v>425</v>
      </c>
      <c r="B74" s="87"/>
      <c r="C74" s="87"/>
      <c r="D74" s="87"/>
      <c r="E74" s="87"/>
      <c r="F74" s="87"/>
      <c r="G74" s="87"/>
      <c r="H74" s="87"/>
      <c r="I74" s="87"/>
      <c r="J74" s="87"/>
      <c r="K74" s="87"/>
      <c r="L74" s="87"/>
      <c r="M74" s="60"/>
      <c r="N74" s="60"/>
      <c r="O74" s="60"/>
      <c r="P74" s="60"/>
      <c r="Q74" s="60"/>
      <c r="R74" s="60"/>
      <c r="S74" s="60"/>
      <c r="T74" s="60"/>
      <c r="U74" s="60"/>
      <c r="V74" s="60"/>
      <c r="W74" s="60"/>
      <c r="X74" s="60"/>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row>
    <row r="75" spans="1:107" s="54" customFormat="1" ht="15.75" thickBot="1">
      <c r="A75" s="88" t="s">
        <v>402</v>
      </c>
      <c r="B75" s="88" t="s">
        <v>471</v>
      </c>
      <c r="C75" s="88" t="s">
        <v>472</v>
      </c>
      <c r="D75" s="88" t="s">
        <v>473</v>
      </c>
      <c r="E75" s="88" t="s">
        <v>474</v>
      </c>
      <c r="F75" s="88" t="s">
        <v>475</v>
      </c>
      <c r="G75" s="88" t="s">
        <v>476</v>
      </c>
      <c r="H75" s="88" t="s">
        <v>477</v>
      </c>
      <c r="I75" s="88" t="s">
        <v>478</v>
      </c>
      <c r="J75" s="88" t="s">
        <v>479</v>
      </c>
      <c r="K75" s="88" t="s">
        <v>480</v>
      </c>
      <c r="L75" s="88" t="s">
        <v>467</v>
      </c>
      <c r="M75" s="68" t="s">
        <v>403</v>
      </c>
      <c r="N75" s="68" t="s">
        <v>7</v>
      </c>
      <c r="O75" s="69" t="s">
        <v>404</v>
      </c>
      <c r="P75" s="60"/>
      <c r="Q75" s="60"/>
      <c r="R75" s="60"/>
      <c r="S75" s="60"/>
      <c r="T75" s="60"/>
      <c r="U75" s="60"/>
      <c r="V75" s="60"/>
      <c r="W75" s="60"/>
      <c r="X75" s="60"/>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row>
    <row r="76" spans="1:107" ht="15.75" thickBot="1">
      <c r="A76" s="65" t="s">
        <v>204</v>
      </c>
      <c r="B76" s="91">
        <v>110</v>
      </c>
      <c r="C76" s="92">
        <v>110</v>
      </c>
      <c r="D76" s="91">
        <v>110</v>
      </c>
      <c r="E76" s="92">
        <v>110</v>
      </c>
      <c r="F76" s="91">
        <v>110</v>
      </c>
      <c r="G76" s="92">
        <v>110</v>
      </c>
      <c r="H76" s="91">
        <v>110</v>
      </c>
      <c r="I76" s="92">
        <v>110</v>
      </c>
      <c r="J76" s="91">
        <v>110</v>
      </c>
      <c r="K76" s="92">
        <v>110</v>
      </c>
      <c r="L76" s="55" t="s">
        <v>18</v>
      </c>
      <c r="M76" s="56" t="s">
        <v>28</v>
      </c>
      <c r="N76" s="55" t="s">
        <v>15</v>
      </c>
      <c r="O76" s="66" t="s">
        <v>421</v>
      </c>
      <c r="P76" s="60"/>
      <c r="Q76" s="60"/>
      <c r="R76" s="60"/>
      <c r="S76" s="60"/>
      <c r="T76" s="60"/>
      <c r="U76" s="60"/>
      <c r="V76" s="60"/>
      <c r="W76" s="60"/>
      <c r="X76" s="60"/>
    </row>
    <row r="77" spans="1:107" ht="15.75" thickBot="1">
      <c r="A77" s="65" t="s">
        <v>207</v>
      </c>
      <c r="B77" s="91">
        <v>110</v>
      </c>
      <c r="C77" s="92">
        <v>110</v>
      </c>
      <c r="D77" s="91">
        <v>110</v>
      </c>
      <c r="E77" s="92">
        <v>110</v>
      </c>
      <c r="F77" s="91">
        <v>110</v>
      </c>
      <c r="G77" s="92">
        <v>110</v>
      </c>
      <c r="H77" s="91">
        <v>110</v>
      </c>
      <c r="I77" s="92">
        <v>110</v>
      </c>
      <c r="J77" s="91">
        <v>110</v>
      </c>
      <c r="K77" s="92">
        <v>110</v>
      </c>
      <c r="L77" s="55" t="s">
        <v>18</v>
      </c>
      <c r="M77" s="56" t="s">
        <v>28</v>
      </c>
      <c r="N77" s="55" t="s">
        <v>15</v>
      </c>
      <c r="O77" s="66" t="s">
        <v>421</v>
      </c>
      <c r="P77" s="60"/>
      <c r="Q77" s="60"/>
      <c r="R77" s="60"/>
      <c r="S77" s="60"/>
      <c r="T77" s="60"/>
      <c r="U77" s="60"/>
      <c r="V77" s="60"/>
      <c r="W77" s="60"/>
      <c r="X77" s="60"/>
    </row>
    <row r="78" spans="1:107" s="54" customFormat="1" ht="15.75" thickBot="1">
      <c r="A78" s="65" t="s">
        <v>536</v>
      </c>
      <c r="B78" s="91">
        <v>56.7</v>
      </c>
      <c r="C78" s="92">
        <v>56.7</v>
      </c>
      <c r="D78" s="91">
        <v>56.7</v>
      </c>
      <c r="E78" s="92">
        <v>56.7</v>
      </c>
      <c r="F78" s="91">
        <v>56.7</v>
      </c>
      <c r="G78" s="92">
        <v>56.7</v>
      </c>
      <c r="H78" s="91">
        <v>56.7</v>
      </c>
      <c r="I78" s="92">
        <v>56.7</v>
      </c>
      <c r="J78" s="91">
        <v>56.7</v>
      </c>
      <c r="K78" s="92">
        <v>56.7</v>
      </c>
      <c r="L78" s="55" t="s">
        <v>18</v>
      </c>
      <c r="M78" s="56" t="s">
        <v>17</v>
      </c>
      <c r="N78" s="55" t="s">
        <v>15</v>
      </c>
      <c r="O78" s="66" t="s">
        <v>421</v>
      </c>
      <c r="P78" s="87"/>
      <c r="Q78" s="87"/>
      <c r="R78" s="87"/>
      <c r="S78" s="87"/>
      <c r="T78" s="87"/>
      <c r="U78" s="8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row>
    <row r="79" spans="1:107" s="54" customFormat="1" ht="15.75" thickBot="1">
      <c r="A79" s="65" t="s">
        <v>37</v>
      </c>
      <c r="B79" s="91">
        <v>132.30000000000001</v>
      </c>
      <c r="C79" s="92">
        <v>132.30000000000001</v>
      </c>
      <c r="D79" s="91">
        <v>132.30000000000001</v>
      </c>
      <c r="E79" s="92">
        <v>132.30000000000001</v>
      </c>
      <c r="F79" s="91">
        <v>132.30000000000001</v>
      </c>
      <c r="G79" s="92">
        <v>132.30000000000001</v>
      </c>
      <c r="H79" s="91">
        <v>132.30000000000001</v>
      </c>
      <c r="I79" s="92">
        <v>132.30000000000001</v>
      </c>
      <c r="J79" s="91">
        <v>132.30000000000001</v>
      </c>
      <c r="K79" s="92">
        <v>132.30000000000001</v>
      </c>
      <c r="L79" s="55" t="s">
        <v>18</v>
      </c>
      <c r="M79" s="56" t="s">
        <v>17</v>
      </c>
      <c r="N79" s="55" t="s">
        <v>15</v>
      </c>
      <c r="O79" s="66" t="s">
        <v>421</v>
      </c>
      <c r="P79" s="87"/>
      <c r="Q79" s="87"/>
      <c r="R79" s="87"/>
      <c r="S79" s="87"/>
      <c r="T79" s="87"/>
      <c r="U79" s="8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row>
    <row r="80" spans="1:107" s="54" customFormat="1" ht="15.75" thickBot="1">
      <c r="A80" s="65" t="s">
        <v>40</v>
      </c>
      <c r="B80" s="91">
        <v>52.5</v>
      </c>
      <c r="C80" s="92">
        <v>52.5</v>
      </c>
      <c r="D80" s="91">
        <v>52.5</v>
      </c>
      <c r="E80" s="92">
        <v>52.5</v>
      </c>
      <c r="F80" s="91">
        <v>52.5</v>
      </c>
      <c r="G80" s="92">
        <v>52.5</v>
      </c>
      <c r="H80" s="91">
        <v>52.5</v>
      </c>
      <c r="I80" s="92">
        <v>52.5</v>
      </c>
      <c r="J80" s="91">
        <v>52.5</v>
      </c>
      <c r="K80" s="92">
        <v>52.5</v>
      </c>
      <c r="L80" s="55" t="s">
        <v>18</v>
      </c>
      <c r="M80" s="56" t="s">
        <v>17</v>
      </c>
      <c r="N80" s="55" t="s">
        <v>15</v>
      </c>
      <c r="O80" s="66" t="s">
        <v>421</v>
      </c>
      <c r="P80" s="87"/>
      <c r="Q80" s="87"/>
      <c r="R80" s="87"/>
      <c r="S80" s="87"/>
      <c r="T80" s="87"/>
      <c r="U80" s="8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row>
    <row r="81" spans="1:107" s="54" customFormat="1" ht="15.75" thickBot="1">
      <c r="A81" s="65" t="s">
        <v>46</v>
      </c>
      <c r="B81" s="91">
        <v>94.5</v>
      </c>
      <c r="C81" s="92">
        <v>94.5</v>
      </c>
      <c r="D81" s="91">
        <v>94.5</v>
      </c>
      <c r="E81" s="92">
        <v>94.5</v>
      </c>
      <c r="F81" s="91">
        <v>94.5</v>
      </c>
      <c r="G81" s="92">
        <v>94.5</v>
      </c>
      <c r="H81" s="91">
        <v>94.5</v>
      </c>
      <c r="I81" s="92">
        <v>94.5</v>
      </c>
      <c r="J81" s="91">
        <v>94.5</v>
      </c>
      <c r="K81" s="92">
        <v>94.5</v>
      </c>
      <c r="L81" s="55" t="s">
        <v>18</v>
      </c>
      <c r="M81" s="56" t="s">
        <v>17</v>
      </c>
      <c r="N81" s="55" t="s">
        <v>15</v>
      </c>
      <c r="O81" s="66" t="s">
        <v>421</v>
      </c>
      <c r="P81" s="87"/>
      <c r="Q81" s="87"/>
      <c r="R81" s="87"/>
      <c r="S81" s="87"/>
      <c r="T81" s="87"/>
      <c r="U81" s="8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row>
    <row r="82" spans="1:107" s="54" customFormat="1" ht="15.75" thickBot="1">
      <c r="A82" s="65" t="s">
        <v>49</v>
      </c>
      <c r="B82" s="91">
        <v>71.400000000000006</v>
      </c>
      <c r="C82" s="92">
        <v>71.400000000000006</v>
      </c>
      <c r="D82" s="91">
        <v>71.400000000000006</v>
      </c>
      <c r="E82" s="92">
        <v>71.400000000000006</v>
      </c>
      <c r="F82" s="91">
        <v>71.400000000000006</v>
      </c>
      <c r="G82" s="92">
        <v>71.400000000000006</v>
      </c>
      <c r="H82" s="91">
        <v>71.400000000000006</v>
      </c>
      <c r="I82" s="92">
        <v>71.400000000000006</v>
      </c>
      <c r="J82" s="91">
        <v>71.400000000000006</v>
      </c>
      <c r="K82" s="92">
        <v>71.400000000000006</v>
      </c>
      <c r="L82" s="55" t="s">
        <v>18</v>
      </c>
      <c r="M82" s="56" t="s">
        <v>17</v>
      </c>
      <c r="N82" s="55" t="s">
        <v>15</v>
      </c>
      <c r="O82" s="66" t="s">
        <v>421</v>
      </c>
      <c r="P82" s="87"/>
      <c r="Q82" s="87"/>
      <c r="R82" s="87"/>
      <c r="S82" s="87"/>
      <c r="T82" s="87"/>
      <c r="U82" s="8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row>
    <row r="83" spans="1:107" s="54" customFormat="1" ht="15.75" thickBot="1">
      <c r="A83" s="65" t="s">
        <v>54</v>
      </c>
      <c r="B83" s="91">
        <v>100</v>
      </c>
      <c r="C83" s="92">
        <v>100</v>
      </c>
      <c r="D83" s="91">
        <v>100</v>
      </c>
      <c r="E83" s="92">
        <v>100</v>
      </c>
      <c r="F83" s="91">
        <v>100</v>
      </c>
      <c r="G83" s="92">
        <v>100</v>
      </c>
      <c r="H83" s="91">
        <v>100</v>
      </c>
      <c r="I83" s="92">
        <v>100</v>
      </c>
      <c r="J83" s="91">
        <v>100</v>
      </c>
      <c r="K83" s="92">
        <v>100</v>
      </c>
      <c r="L83" s="55" t="s">
        <v>18</v>
      </c>
      <c r="M83" s="56" t="s">
        <v>17</v>
      </c>
      <c r="N83" s="55" t="s">
        <v>15</v>
      </c>
      <c r="O83" s="66" t="s">
        <v>421</v>
      </c>
      <c r="P83" s="87"/>
      <c r="Q83" s="87"/>
      <c r="R83" s="87"/>
      <c r="S83" s="87"/>
      <c r="T83" s="87"/>
      <c r="U83" s="8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row>
    <row r="84" spans="1:107" s="54" customFormat="1" ht="15.75" thickBot="1">
      <c r="A84" s="65" t="s">
        <v>57</v>
      </c>
      <c r="B84" s="91">
        <v>100</v>
      </c>
      <c r="C84" s="92">
        <v>100</v>
      </c>
      <c r="D84" s="91">
        <v>100</v>
      </c>
      <c r="E84" s="92">
        <v>100</v>
      </c>
      <c r="F84" s="91">
        <v>100</v>
      </c>
      <c r="G84" s="92">
        <v>100</v>
      </c>
      <c r="H84" s="91">
        <v>100</v>
      </c>
      <c r="I84" s="92">
        <v>100</v>
      </c>
      <c r="J84" s="91">
        <v>100</v>
      </c>
      <c r="K84" s="92">
        <v>100</v>
      </c>
      <c r="L84" s="55" t="s">
        <v>18</v>
      </c>
      <c r="M84" s="56" t="s">
        <v>17</v>
      </c>
      <c r="N84" s="55" t="s">
        <v>15</v>
      </c>
      <c r="O84" s="66" t="s">
        <v>421</v>
      </c>
      <c r="P84" s="87"/>
      <c r="Q84" s="87"/>
      <c r="R84" s="87"/>
      <c r="S84" s="87"/>
      <c r="T84" s="87"/>
      <c r="U84" s="8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row>
    <row r="85" spans="1:107" s="54" customFormat="1" ht="15.75" thickBot="1">
      <c r="A85" s="65" t="s">
        <v>59</v>
      </c>
      <c r="B85" s="91">
        <v>109</v>
      </c>
      <c r="C85" s="92">
        <v>109</v>
      </c>
      <c r="D85" s="91">
        <v>109</v>
      </c>
      <c r="E85" s="92">
        <v>109</v>
      </c>
      <c r="F85" s="91">
        <v>109</v>
      </c>
      <c r="G85" s="92">
        <v>109</v>
      </c>
      <c r="H85" s="91">
        <v>109</v>
      </c>
      <c r="I85" s="92">
        <v>109</v>
      </c>
      <c r="J85" s="91">
        <v>109</v>
      </c>
      <c r="K85" s="92">
        <v>109</v>
      </c>
      <c r="L85" s="55" t="s">
        <v>18</v>
      </c>
      <c r="M85" s="56" t="s">
        <v>17</v>
      </c>
      <c r="N85" s="55" t="s">
        <v>15</v>
      </c>
      <c r="O85" s="66" t="s">
        <v>421</v>
      </c>
      <c r="P85" s="87"/>
      <c r="Q85" s="87"/>
      <c r="R85" s="87"/>
      <c r="S85" s="87"/>
      <c r="T85" s="87"/>
      <c r="U85" s="8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row>
    <row r="86" spans="1:107" s="54" customFormat="1" ht="15.75" thickBot="1">
      <c r="A86" s="65" t="s">
        <v>64</v>
      </c>
      <c r="B86" s="91">
        <v>159</v>
      </c>
      <c r="C86" s="92">
        <v>159</v>
      </c>
      <c r="D86" s="91">
        <v>159</v>
      </c>
      <c r="E86" s="92">
        <v>159</v>
      </c>
      <c r="F86" s="91">
        <v>159</v>
      </c>
      <c r="G86" s="92">
        <v>159</v>
      </c>
      <c r="H86" s="91">
        <v>159</v>
      </c>
      <c r="I86" s="92">
        <v>159</v>
      </c>
      <c r="J86" s="91">
        <v>159</v>
      </c>
      <c r="K86" s="92">
        <v>159</v>
      </c>
      <c r="L86" s="55" t="s">
        <v>18</v>
      </c>
      <c r="M86" s="56" t="s">
        <v>17</v>
      </c>
      <c r="N86" s="55" t="s">
        <v>15</v>
      </c>
      <c r="O86" s="66" t="s">
        <v>421</v>
      </c>
      <c r="P86" s="87"/>
      <c r="Q86" s="87"/>
      <c r="R86" s="87"/>
      <c r="S86" s="87"/>
      <c r="T86" s="87"/>
      <c r="U86" s="8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row>
    <row r="87" spans="1:107" s="54" customFormat="1" ht="15.75" thickBot="1">
      <c r="A87" s="65" t="s">
        <v>67</v>
      </c>
      <c r="B87" s="91">
        <v>39</v>
      </c>
      <c r="C87" s="92">
        <v>39</v>
      </c>
      <c r="D87" s="91">
        <v>39</v>
      </c>
      <c r="E87" s="92">
        <v>39</v>
      </c>
      <c r="F87" s="91">
        <v>39</v>
      </c>
      <c r="G87" s="92">
        <v>39</v>
      </c>
      <c r="H87" s="91">
        <v>39</v>
      </c>
      <c r="I87" s="92">
        <v>39</v>
      </c>
      <c r="J87" s="91">
        <v>39</v>
      </c>
      <c r="K87" s="92">
        <v>39</v>
      </c>
      <c r="L87" s="55" t="s">
        <v>18</v>
      </c>
      <c r="M87" s="56" t="s">
        <v>17</v>
      </c>
      <c r="N87" s="55" t="s">
        <v>15</v>
      </c>
      <c r="O87" s="66" t="s">
        <v>421</v>
      </c>
      <c r="P87" s="87"/>
      <c r="Q87" s="87"/>
      <c r="R87" s="87"/>
      <c r="S87" s="87"/>
      <c r="T87" s="87"/>
      <c r="U87" s="8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row>
    <row r="88" spans="1:107" s="54" customFormat="1" ht="15.75" thickBot="1">
      <c r="A88" s="65" t="s">
        <v>101</v>
      </c>
      <c r="B88" s="91">
        <v>126</v>
      </c>
      <c r="C88" s="92">
        <v>126</v>
      </c>
      <c r="D88" s="91">
        <v>126</v>
      </c>
      <c r="E88" s="92">
        <v>126</v>
      </c>
      <c r="F88" s="91">
        <v>126</v>
      </c>
      <c r="G88" s="92">
        <v>126</v>
      </c>
      <c r="H88" s="91">
        <v>126</v>
      </c>
      <c r="I88" s="92">
        <v>126</v>
      </c>
      <c r="J88" s="91">
        <v>126</v>
      </c>
      <c r="K88" s="92">
        <v>126</v>
      </c>
      <c r="L88" s="55" t="s">
        <v>18</v>
      </c>
      <c r="M88" s="56" t="s">
        <v>17</v>
      </c>
      <c r="N88" s="55" t="s">
        <v>15</v>
      </c>
      <c r="O88" s="66" t="s">
        <v>421</v>
      </c>
      <c r="P88" s="87"/>
      <c r="Q88" s="87"/>
      <c r="R88" s="87"/>
      <c r="S88" s="87"/>
      <c r="T88" s="87"/>
      <c r="U88" s="8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row>
    <row r="89" spans="1:107" s="54" customFormat="1" ht="15.75" thickBot="1">
      <c r="A89" s="65" t="s">
        <v>538</v>
      </c>
      <c r="B89" s="91">
        <v>270</v>
      </c>
      <c r="C89" s="92">
        <v>270</v>
      </c>
      <c r="D89" s="91">
        <v>270</v>
      </c>
      <c r="E89" s="92">
        <v>270</v>
      </c>
      <c r="F89" s="91">
        <v>270</v>
      </c>
      <c r="G89" s="92">
        <v>270</v>
      </c>
      <c r="H89" s="91">
        <v>270</v>
      </c>
      <c r="I89" s="92">
        <v>270</v>
      </c>
      <c r="J89" s="91">
        <v>270</v>
      </c>
      <c r="K89" s="92">
        <v>270</v>
      </c>
      <c r="L89" s="55" t="s">
        <v>18</v>
      </c>
      <c r="M89" s="56" t="s">
        <v>17</v>
      </c>
      <c r="N89" s="55" t="s">
        <v>15</v>
      </c>
      <c r="O89" s="66" t="s">
        <v>421</v>
      </c>
      <c r="P89" s="87"/>
      <c r="Q89" s="87"/>
      <c r="R89" s="87"/>
      <c r="S89" s="87"/>
      <c r="T89" s="87"/>
      <c r="U89" s="8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row>
    <row r="90" spans="1:107" s="54" customFormat="1" ht="15.75" thickBot="1">
      <c r="A90" s="65" t="s">
        <v>539</v>
      </c>
      <c r="B90" s="91">
        <v>98.7</v>
      </c>
      <c r="C90" s="92">
        <v>98.7</v>
      </c>
      <c r="D90" s="91">
        <v>98.7</v>
      </c>
      <c r="E90" s="92">
        <v>98.7</v>
      </c>
      <c r="F90" s="91">
        <v>98.7</v>
      </c>
      <c r="G90" s="92">
        <v>98.7</v>
      </c>
      <c r="H90" s="91">
        <v>98.7</v>
      </c>
      <c r="I90" s="92">
        <v>98.7</v>
      </c>
      <c r="J90" s="91">
        <v>98.7</v>
      </c>
      <c r="K90" s="92">
        <v>98.7</v>
      </c>
      <c r="L90" s="55" t="s">
        <v>18</v>
      </c>
      <c r="M90" s="56" t="s">
        <v>17</v>
      </c>
      <c r="N90" s="55" t="s">
        <v>15</v>
      </c>
      <c r="O90" s="66" t="s">
        <v>421</v>
      </c>
      <c r="P90" s="87"/>
      <c r="Q90" s="87"/>
      <c r="R90" s="87"/>
      <c r="S90" s="87"/>
      <c r="T90" s="87"/>
      <c r="U90" s="8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row>
    <row r="91" spans="1:107" s="54" customFormat="1" ht="15.75" thickBot="1">
      <c r="A91" s="65" t="s">
        <v>106</v>
      </c>
      <c r="B91" s="91">
        <v>95</v>
      </c>
      <c r="C91" s="92">
        <v>95</v>
      </c>
      <c r="D91" s="91">
        <v>95</v>
      </c>
      <c r="E91" s="92">
        <v>95</v>
      </c>
      <c r="F91" s="91">
        <v>95</v>
      </c>
      <c r="G91" s="92">
        <v>95</v>
      </c>
      <c r="H91" s="91">
        <v>95</v>
      </c>
      <c r="I91" s="92">
        <v>95</v>
      </c>
      <c r="J91" s="91">
        <v>95</v>
      </c>
      <c r="K91" s="92">
        <v>95</v>
      </c>
      <c r="L91" s="55" t="s">
        <v>18</v>
      </c>
      <c r="M91" s="56" t="s">
        <v>28</v>
      </c>
      <c r="N91" s="55" t="s">
        <v>15</v>
      </c>
      <c r="O91" s="66" t="s">
        <v>421</v>
      </c>
      <c r="P91" s="87"/>
      <c r="Q91" s="87"/>
      <c r="R91" s="87"/>
      <c r="S91" s="87"/>
      <c r="T91" s="87"/>
      <c r="U91" s="8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row>
    <row r="92" spans="1:107" s="54" customFormat="1" ht="15.75" thickBot="1">
      <c r="A92" s="65" t="s">
        <v>541</v>
      </c>
      <c r="B92" s="91">
        <v>130.80000000000001</v>
      </c>
      <c r="C92" s="92">
        <v>130.80000000000001</v>
      </c>
      <c r="D92" s="91">
        <v>130.80000000000001</v>
      </c>
      <c r="E92" s="92">
        <v>130.80000000000001</v>
      </c>
      <c r="F92" s="91">
        <v>130.80000000000001</v>
      </c>
      <c r="G92" s="92">
        <v>130.80000000000001</v>
      </c>
      <c r="H92" s="91">
        <v>130.80000000000001</v>
      </c>
      <c r="I92" s="92">
        <v>130.80000000000001</v>
      </c>
      <c r="J92" s="91">
        <v>130.80000000000001</v>
      </c>
      <c r="K92" s="92">
        <v>130.80000000000001</v>
      </c>
      <c r="L92" s="55" t="s">
        <v>18</v>
      </c>
      <c r="M92" s="56" t="s">
        <v>17</v>
      </c>
      <c r="N92" s="55" t="s">
        <v>15</v>
      </c>
      <c r="O92" s="66" t="s">
        <v>421</v>
      </c>
      <c r="P92" s="87"/>
      <c r="Q92" s="87"/>
      <c r="R92" s="87"/>
      <c r="S92" s="87"/>
      <c r="T92" s="87"/>
      <c r="U92" s="8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row>
    <row r="93" spans="1:107" s="54" customFormat="1" ht="15.75" thickBot="1">
      <c r="A93" s="65" t="s">
        <v>574</v>
      </c>
      <c r="B93" s="91">
        <v>119.4</v>
      </c>
      <c r="C93" s="92">
        <v>119.4</v>
      </c>
      <c r="D93" s="91">
        <v>119.4</v>
      </c>
      <c r="E93" s="92">
        <v>119.4</v>
      </c>
      <c r="F93" s="91">
        <v>119.4</v>
      </c>
      <c r="G93" s="92">
        <v>119.4</v>
      </c>
      <c r="H93" s="91">
        <v>119.4</v>
      </c>
      <c r="I93" s="92">
        <v>119.4</v>
      </c>
      <c r="J93" s="91">
        <v>119.4</v>
      </c>
      <c r="K93" s="92">
        <v>119.4</v>
      </c>
      <c r="L93" s="55" t="s">
        <v>18</v>
      </c>
      <c r="M93" s="56" t="s">
        <v>17</v>
      </c>
      <c r="N93" s="55" t="s">
        <v>15</v>
      </c>
      <c r="O93" s="66" t="s">
        <v>421</v>
      </c>
      <c r="P93" s="87"/>
      <c r="Q93" s="87"/>
      <c r="R93" s="87"/>
      <c r="S93" s="87"/>
      <c r="T93" s="87"/>
      <c r="U93" s="8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row>
    <row r="94" spans="1:107" s="54" customFormat="1" ht="15.75" thickBot="1">
      <c r="A94" s="87"/>
      <c r="B94" s="93"/>
      <c r="C94" s="93"/>
      <c r="D94" s="93"/>
      <c r="E94" s="93"/>
      <c r="F94" s="93"/>
      <c r="G94" s="93"/>
      <c r="H94" s="93"/>
      <c r="I94" s="93"/>
      <c r="J94" s="93"/>
      <c r="K94" s="93"/>
      <c r="L94" s="87"/>
      <c r="M94" s="87"/>
      <c r="N94" s="87"/>
      <c r="O94" s="87"/>
      <c r="P94" s="87"/>
      <c r="Q94" s="87"/>
      <c r="R94" s="87"/>
      <c r="S94" s="87"/>
      <c r="T94" s="87"/>
      <c r="U94" s="8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row>
    <row r="95" spans="1:107" s="54" customFormat="1" ht="15.75" thickBot="1">
      <c r="A95" s="57" t="s">
        <v>418</v>
      </c>
      <c r="B95" s="94">
        <f>SUMIF(wincapsSStable[[FuelType]:[FuelType]],"Wind",wincapsSStable[2019])</f>
        <v>1659.3000000000002</v>
      </c>
      <c r="C95" s="94">
        <f>SUMIF(wincapsSStable[[FuelType]:[FuelType]],"Wind",wincapsSStable[2020])</f>
        <v>1659.3000000000002</v>
      </c>
      <c r="D95" s="94">
        <f>SUMIF(wincapsSStable[[FuelType]:[FuelType]],"Wind",wincapsSStable[2021])</f>
        <v>1659.3000000000002</v>
      </c>
      <c r="E95" s="94">
        <f>SUMIF(wincapsSStable[[FuelType]:[FuelType]],"Wind",wincapsSStable[2022])</f>
        <v>1659.3000000000002</v>
      </c>
      <c r="F95" s="94">
        <f>SUMIF(wincapsSStable[[FuelType]:[FuelType]],"Wind",wincapsSStable[2023])</f>
        <v>1659.3000000000002</v>
      </c>
      <c r="G95" s="94">
        <f>SUMIF(wincapsSStable[[FuelType]:[FuelType]],"Wind",wincapsSStable[2024])</f>
        <v>1659.3000000000002</v>
      </c>
      <c r="H95" s="94">
        <f>SUMIF(wincapsSStable[[FuelType]:[FuelType]],"Wind",wincapsSStable[2025])</f>
        <v>1659.3000000000002</v>
      </c>
      <c r="I95" s="94">
        <f>SUMIF(wincapsSStable[[FuelType]:[FuelType]],"Wind",wincapsSStable[2026])</f>
        <v>1659.3000000000002</v>
      </c>
      <c r="J95" s="94">
        <f>SUMIF(wincapsSStable[[FuelType]:[FuelType]],"Wind",wincapsSStable[2027])</f>
        <v>1659.3000000000002</v>
      </c>
      <c r="K95" s="94">
        <f>SUMIF(wincapsSStable[[FuelType]:[FuelType]],"Wind",wincapsSStable[2028])</f>
        <v>1659.3000000000002</v>
      </c>
      <c r="L95" s="58"/>
      <c r="M95" s="60"/>
      <c r="N95" s="60"/>
      <c r="O95" s="60"/>
      <c r="P95" s="87"/>
      <c r="Q95" s="87"/>
      <c r="R95" s="87"/>
      <c r="S95" s="87"/>
      <c r="T95" s="87"/>
      <c r="U95" s="8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row>
    <row r="96" spans="1:107" s="54" customFormat="1" ht="15.75" thickBot="1">
      <c r="A96" s="57" t="s">
        <v>419</v>
      </c>
      <c r="B96" s="94">
        <f>SUMIF(wincapsSStable[[FuelType]:[FuelType]],"Solar",wincapsSStable[2019])</f>
        <v>315</v>
      </c>
      <c r="C96" s="94">
        <f>SUMIF(wincapsSStable[[FuelType]:[FuelType]],"Solar",wincapsSStable[2020])</f>
        <v>315</v>
      </c>
      <c r="D96" s="94">
        <f>SUMIF(wincapsSStable[[FuelType]:[FuelType]],"Solar",wincapsSStable[2021])</f>
        <v>315</v>
      </c>
      <c r="E96" s="94">
        <f>SUMIF(wincapsSStable[[FuelType]:[FuelType]],"Solar",wincapsSStable[2022])</f>
        <v>315</v>
      </c>
      <c r="F96" s="94">
        <f>SUMIF(wincapsSStable[[FuelType]:[FuelType]],"Solar",wincapsSStable[2023])</f>
        <v>315</v>
      </c>
      <c r="G96" s="94">
        <f>SUMIF(wincapsSStable[[FuelType]:[FuelType]],"Solar",wincapsSStable[2024])</f>
        <v>315</v>
      </c>
      <c r="H96" s="94">
        <f>SUMIF(wincapsSStable[[FuelType]:[FuelType]],"Solar",wincapsSStable[2025])</f>
        <v>315</v>
      </c>
      <c r="I96" s="94">
        <f>SUMIF(wincapsSStable[[FuelType]:[FuelType]],"Solar",wincapsSStable[2026])</f>
        <v>315</v>
      </c>
      <c r="J96" s="94">
        <f>SUMIF(wincapsSStable[[FuelType]:[FuelType]],"Solar",wincapsSStable[2027])</f>
        <v>315</v>
      </c>
      <c r="K96" s="94">
        <f>SUMIF(wincapsSStable[[FuelType]:[FuelType]],"Solar",wincapsSStable[2028])</f>
        <v>315</v>
      </c>
      <c r="L96" s="58"/>
      <c r="M96" s="60"/>
      <c r="N96" s="60"/>
      <c r="O96" s="60"/>
      <c r="P96" s="87"/>
      <c r="Q96" s="87"/>
      <c r="R96" s="87"/>
      <c r="S96" s="87"/>
      <c r="T96" s="87"/>
      <c r="U96" s="8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row>
    <row r="97" spans="1:107" s="54" customFormat="1">
      <c r="A97" s="87"/>
      <c r="B97" s="87"/>
      <c r="C97" s="87"/>
      <c r="D97" s="87"/>
      <c r="E97" s="87"/>
      <c r="F97" s="87"/>
      <c r="G97" s="87"/>
      <c r="H97" s="87"/>
      <c r="I97" s="87"/>
      <c r="J97" s="87"/>
      <c r="K97" s="87"/>
      <c r="L97" s="87"/>
      <c r="M97" s="87"/>
      <c r="N97" s="87"/>
      <c r="O97" s="87"/>
      <c r="P97" s="87"/>
      <c r="Q97" s="87"/>
      <c r="R97" s="87"/>
      <c r="S97" s="87"/>
      <c r="T97" s="87"/>
      <c r="U97" s="8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row>
    <row r="99" spans="1:107" s="54" customFormat="1">
      <c r="A99" s="87"/>
      <c r="B99" s="87"/>
      <c r="C99" s="87"/>
      <c r="D99" s="87"/>
      <c r="E99" s="87"/>
      <c r="F99" s="87"/>
      <c r="G99" s="87"/>
      <c r="H99" s="87"/>
      <c r="I99" s="87"/>
      <c r="J99" s="87"/>
      <c r="K99" s="87"/>
      <c r="L99" s="87"/>
      <c r="M99" s="87"/>
      <c r="N99" s="87"/>
      <c r="O99" s="87"/>
      <c r="P99" s="60"/>
      <c r="Q99" s="60"/>
      <c r="R99" s="60"/>
      <c r="S99" s="60"/>
      <c r="T99" s="60"/>
      <c r="U99" s="60"/>
      <c r="V99" s="60"/>
      <c r="W99" s="60"/>
      <c r="X99" s="60"/>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row>
    <row r="100" spans="1:107" s="54" customFormat="1">
      <c r="A100" s="87"/>
      <c r="B100" s="87"/>
      <c r="C100" s="87"/>
      <c r="D100" s="87"/>
      <c r="E100" s="87"/>
      <c r="F100" s="87"/>
      <c r="G100" s="87"/>
      <c r="H100" s="87"/>
      <c r="I100" s="87"/>
      <c r="J100" s="87"/>
      <c r="K100" s="87"/>
      <c r="L100" s="87"/>
      <c r="M100" s="87"/>
      <c r="N100" s="87"/>
      <c r="O100" s="87"/>
      <c r="P100" s="60"/>
      <c r="Q100" s="60"/>
      <c r="R100" s="60"/>
      <c r="S100" s="60"/>
      <c r="T100" s="60"/>
      <c r="U100" s="60"/>
      <c r="V100" s="60"/>
      <c r="W100" s="60"/>
      <c r="X100" s="60"/>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row>
  </sheetData>
  <mergeCells count="4">
    <mergeCell ref="A43:L43"/>
    <mergeCell ref="A44:L44"/>
    <mergeCell ref="A45:L45"/>
    <mergeCell ref="A46:L46"/>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43"/>
  <sheetViews>
    <sheetView workbookViewId="0"/>
  </sheetViews>
  <sheetFormatPr defaultColWidth="9.140625" defaultRowHeight="15"/>
  <cols>
    <col min="1" max="1" width="34.85546875" style="27" bestFit="1" customWidth="1"/>
    <col min="2" max="2" width="54.85546875" style="27" bestFit="1" customWidth="1"/>
    <col min="3" max="3" width="25.5703125" style="27" bestFit="1" customWidth="1"/>
    <col min="4" max="4" width="26" style="27" bestFit="1" customWidth="1"/>
    <col min="5" max="5" width="22" style="27" bestFit="1" customWidth="1"/>
    <col min="6" max="6" width="16.85546875" style="27" bestFit="1" customWidth="1"/>
    <col min="7" max="7" width="11" style="27" hidden="1" customWidth="1"/>
    <col min="8" max="8" width="19.5703125" style="27" hidden="1" customWidth="1"/>
    <col min="9" max="9" width="26.85546875" style="87" hidden="1" customWidth="1"/>
    <col min="10" max="10" width="26.85546875" style="27" hidden="1" customWidth="1"/>
    <col min="11" max="16384" width="9.140625" style="27"/>
  </cols>
  <sheetData>
    <row r="1" spans="1:9" ht="20.25" thickBot="1">
      <c r="A1" s="63" t="s">
        <v>108</v>
      </c>
    </row>
    <row r="2" spans="1:9" ht="15.75" thickBot="1">
      <c r="A2" s="62" t="s">
        <v>1</v>
      </c>
      <c r="B2" s="62" t="s">
        <v>2</v>
      </c>
      <c r="C2" s="62" t="s">
        <v>109</v>
      </c>
      <c r="D2" s="62" t="s">
        <v>3</v>
      </c>
      <c r="E2" s="62" t="s">
        <v>4</v>
      </c>
      <c r="F2" s="62" t="s">
        <v>6</v>
      </c>
      <c r="G2" s="2" t="s">
        <v>7</v>
      </c>
      <c r="H2" s="2" t="s">
        <v>172</v>
      </c>
      <c r="I2" s="2" t="s">
        <v>168</v>
      </c>
    </row>
    <row r="3" spans="1:9" ht="15.75" thickBot="1">
      <c r="A3" s="74" t="s">
        <v>111</v>
      </c>
      <c r="B3" s="75" t="s">
        <v>112</v>
      </c>
      <c r="C3" s="76">
        <v>1</v>
      </c>
      <c r="D3" s="75" t="s">
        <v>27</v>
      </c>
      <c r="E3" s="76" t="s">
        <v>28</v>
      </c>
      <c r="F3" s="130" t="s">
        <v>110</v>
      </c>
      <c r="G3" s="19" t="s">
        <v>15</v>
      </c>
      <c r="H3" s="13" t="s">
        <v>28</v>
      </c>
      <c r="I3" s="19" t="s">
        <v>163</v>
      </c>
    </row>
    <row r="4" spans="1:9" ht="15.75" thickBot="1">
      <c r="A4" s="77" t="s">
        <v>382</v>
      </c>
      <c r="B4" s="78" t="s">
        <v>150</v>
      </c>
      <c r="C4" s="79">
        <v>0.15079999999999999</v>
      </c>
      <c r="D4" s="78" t="s">
        <v>383</v>
      </c>
      <c r="E4" s="79" t="s">
        <v>28</v>
      </c>
      <c r="F4" s="130" t="s">
        <v>110</v>
      </c>
      <c r="G4" s="18" t="s">
        <v>15</v>
      </c>
      <c r="H4" s="12" t="s">
        <v>28</v>
      </c>
      <c r="I4" s="18" t="s">
        <v>163</v>
      </c>
    </row>
    <row r="5" spans="1:9" ht="15.75" thickBot="1">
      <c r="A5" s="77" t="s">
        <v>603</v>
      </c>
      <c r="B5" s="78" t="s">
        <v>604</v>
      </c>
      <c r="C5" s="79">
        <v>30</v>
      </c>
      <c r="D5" s="78" t="s">
        <v>11</v>
      </c>
      <c r="E5" s="79" t="s">
        <v>12</v>
      </c>
      <c r="F5" s="130" t="s">
        <v>110</v>
      </c>
      <c r="G5" s="18" t="s">
        <v>15</v>
      </c>
      <c r="H5" s="12" t="s">
        <v>161</v>
      </c>
      <c r="I5" s="18" t="s">
        <v>163</v>
      </c>
    </row>
    <row r="6" spans="1:9" ht="15.75" thickBot="1">
      <c r="A6" s="77" t="s">
        <v>114</v>
      </c>
      <c r="B6" s="78" t="s">
        <v>115</v>
      </c>
      <c r="C6" s="79">
        <v>0.505</v>
      </c>
      <c r="D6" s="78" t="s">
        <v>11</v>
      </c>
      <c r="E6" s="79" t="s">
        <v>12</v>
      </c>
      <c r="F6" s="130" t="s">
        <v>110</v>
      </c>
      <c r="G6" s="18" t="s">
        <v>15</v>
      </c>
      <c r="H6" s="12" t="s">
        <v>161</v>
      </c>
      <c r="I6" s="18" t="s">
        <v>163</v>
      </c>
    </row>
    <row r="7" spans="1:9" ht="15.75" thickBot="1">
      <c r="A7" s="77" t="s">
        <v>116</v>
      </c>
      <c r="B7" s="78" t="s">
        <v>117</v>
      </c>
      <c r="C7" s="79">
        <v>10</v>
      </c>
      <c r="D7" s="78" t="s">
        <v>439</v>
      </c>
      <c r="E7" s="79" t="s">
        <v>118</v>
      </c>
      <c r="F7" s="130" t="s">
        <v>110</v>
      </c>
      <c r="G7" s="18" t="s">
        <v>15</v>
      </c>
      <c r="H7" s="12" t="s">
        <v>160</v>
      </c>
      <c r="I7" s="18" t="s">
        <v>163</v>
      </c>
    </row>
    <row r="8" spans="1:9" ht="15.75" thickBot="1">
      <c r="A8" s="77" t="s">
        <v>119</v>
      </c>
      <c r="B8" s="78" t="s">
        <v>120</v>
      </c>
      <c r="C8" s="79">
        <v>5</v>
      </c>
      <c r="D8" s="78" t="s">
        <v>11</v>
      </c>
      <c r="E8" s="79" t="s">
        <v>12</v>
      </c>
      <c r="F8" s="130" t="s">
        <v>110</v>
      </c>
      <c r="G8" s="18" t="s">
        <v>15</v>
      </c>
      <c r="H8" s="12" t="s">
        <v>161</v>
      </c>
      <c r="I8" s="18" t="s">
        <v>163</v>
      </c>
    </row>
    <row r="9" spans="1:9" ht="15.75" thickBot="1">
      <c r="A9" s="77" t="s">
        <v>121</v>
      </c>
      <c r="B9" s="78" t="s">
        <v>122</v>
      </c>
      <c r="C9" s="79">
        <v>46</v>
      </c>
      <c r="D9" s="78" t="s">
        <v>16</v>
      </c>
      <c r="E9" s="79" t="s">
        <v>17</v>
      </c>
      <c r="F9" s="130" t="s">
        <v>110</v>
      </c>
      <c r="G9" s="18" t="s">
        <v>15</v>
      </c>
      <c r="H9" s="12" t="s">
        <v>17</v>
      </c>
      <c r="I9" s="18" t="s">
        <v>163</v>
      </c>
    </row>
    <row r="10" spans="1:9" ht="15.75" thickBot="1">
      <c r="A10" s="77" t="s">
        <v>123</v>
      </c>
      <c r="B10" s="78" t="s">
        <v>124</v>
      </c>
      <c r="C10" s="79">
        <v>66</v>
      </c>
      <c r="D10" s="78" t="s">
        <v>16</v>
      </c>
      <c r="E10" s="79" t="s">
        <v>17</v>
      </c>
      <c r="F10" s="130" t="s">
        <v>110</v>
      </c>
      <c r="G10" s="18" t="s">
        <v>15</v>
      </c>
      <c r="H10" s="12" t="s">
        <v>17</v>
      </c>
      <c r="I10" s="18" t="s">
        <v>163</v>
      </c>
    </row>
    <row r="11" spans="1:9" ht="15.75" thickBot="1">
      <c r="A11" s="77" t="s">
        <v>125</v>
      </c>
      <c r="B11" s="78" t="s">
        <v>26</v>
      </c>
      <c r="C11" s="79">
        <v>4.5</v>
      </c>
      <c r="D11" s="78" t="s">
        <v>32</v>
      </c>
      <c r="E11" s="79" t="s">
        <v>20</v>
      </c>
      <c r="F11" s="130" t="s">
        <v>110</v>
      </c>
      <c r="G11" s="18" t="s">
        <v>15</v>
      </c>
      <c r="H11" s="12" t="s">
        <v>32</v>
      </c>
      <c r="I11" s="18" t="s">
        <v>163</v>
      </c>
    </row>
    <row r="12" spans="1:9" ht="15.75" thickBot="1">
      <c r="A12" s="77" t="s">
        <v>126</v>
      </c>
      <c r="B12" s="78" t="s">
        <v>89</v>
      </c>
      <c r="C12" s="79">
        <v>8</v>
      </c>
      <c r="D12" s="78" t="s">
        <v>11</v>
      </c>
      <c r="E12" s="79" t="s">
        <v>12</v>
      </c>
      <c r="F12" s="130" t="s">
        <v>110</v>
      </c>
      <c r="G12" s="18" t="s">
        <v>15</v>
      </c>
      <c r="H12" s="12" t="s">
        <v>161</v>
      </c>
      <c r="I12" s="18" t="s">
        <v>163</v>
      </c>
    </row>
    <row r="13" spans="1:9" ht="15.75" thickBot="1">
      <c r="A13" s="77" t="s">
        <v>127</v>
      </c>
      <c r="B13" s="78" t="s">
        <v>65</v>
      </c>
      <c r="C13" s="79">
        <v>80.5</v>
      </c>
      <c r="D13" s="78" t="s">
        <v>16</v>
      </c>
      <c r="E13" s="79" t="s">
        <v>17</v>
      </c>
      <c r="F13" s="130" t="s">
        <v>110</v>
      </c>
      <c r="G13" s="18" t="s">
        <v>15</v>
      </c>
      <c r="H13" s="12" t="s">
        <v>17</v>
      </c>
      <c r="I13" s="18" t="s">
        <v>163</v>
      </c>
    </row>
    <row r="14" spans="1:9" ht="15.75" thickBot="1">
      <c r="A14" s="77" t="s">
        <v>128</v>
      </c>
      <c r="B14" s="78" t="s">
        <v>129</v>
      </c>
      <c r="C14" s="79">
        <v>70</v>
      </c>
      <c r="D14" s="78" t="s">
        <v>16</v>
      </c>
      <c r="E14" s="79" t="s">
        <v>17</v>
      </c>
      <c r="F14" s="130" t="s">
        <v>110</v>
      </c>
      <c r="G14" s="18" t="s">
        <v>15</v>
      </c>
      <c r="H14" s="12" t="s">
        <v>17</v>
      </c>
      <c r="I14" s="18" t="s">
        <v>163</v>
      </c>
    </row>
    <row r="15" spans="1:9" ht="15.75" thickBot="1">
      <c r="A15" s="77" t="s">
        <v>384</v>
      </c>
      <c r="B15" s="78" t="s">
        <v>385</v>
      </c>
      <c r="C15" s="79">
        <v>2.3929999999999998</v>
      </c>
      <c r="D15" s="78" t="s">
        <v>386</v>
      </c>
      <c r="E15" s="79" t="s">
        <v>161</v>
      </c>
      <c r="F15" s="130" t="s">
        <v>110</v>
      </c>
      <c r="G15" s="18" t="s">
        <v>15</v>
      </c>
      <c r="H15" s="12" t="s">
        <v>161</v>
      </c>
      <c r="I15" s="18" t="s">
        <v>163</v>
      </c>
    </row>
    <row r="16" spans="1:9" ht="15.75" thickBot="1">
      <c r="A16" s="77" t="s">
        <v>130</v>
      </c>
      <c r="B16" s="78" t="s">
        <v>131</v>
      </c>
      <c r="C16" s="79">
        <v>2.2730000000000001</v>
      </c>
      <c r="D16" s="78" t="s">
        <v>11</v>
      </c>
      <c r="E16" s="79" t="s">
        <v>113</v>
      </c>
      <c r="F16" s="130" t="s">
        <v>110</v>
      </c>
      <c r="G16" s="18" t="s">
        <v>15</v>
      </c>
      <c r="H16" s="12" t="s">
        <v>160</v>
      </c>
      <c r="I16" s="18" t="s">
        <v>163</v>
      </c>
    </row>
    <row r="17" spans="1:9" ht="15.75" thickBot="1">
      <c r="A17" s="77" t="s">
        <v>132</v>
      </c>
      <c r="B17" s="78" t="s">
        <v>133</v>
      </c>
      <c r="C17" s="79">
        <v>4.8949999999999996</v>
      </c>
      <c r="D17" s="78" t="s">
        <v>29</v>
      </c>
      <c r="E17" s="79" t="s">
        <v>28</v>
      </c>
      <c r="F17" s="130" t="s">
        <v>110</v>
      </c>
      <c r="G17" s="18" t="s">
        <v>15</v>
      </c>
      <c r="H17" s="12" t="s">
        <v>28</v>
      </c>
      <c r="I17" s="18" t="s">
        <v>163</v>
      </c>
    </row>
    <row r="18" spans="1:9" ht="15.75" thickBot="1">
      <c r="A18" s="77" t="s">
        <v>387</v>
      </c>
      <c r="B18" s="78" t="s">
        <v>150</v>
      </c>
      <c r="C18" s="79">
        <v>0.21199999999999999</v>
      </c>
      <c r="D18" s="78" t="s">
        <v>383</v>
      </c>
      <c r="E18" s="79" t="s">
        <v>28</v>
      </c>
      <c r="F18" s="130" t="s">
        <v>110</v>
      </c>
      <c r="G18" s="18" t="s">
        <v>15</v>
      </c>
      <c r="H18" s="12" t="s">
        <v>28</v>
      </c>
      <c r="I18" s="18" t="s">
        <v>163</v>
      </c>
    </row>
    <row r="19" spans="1:9" ht="15.75" thickBot="1">
      <c r="A19" s="77" t="s">
        <v>388</v>
      </c>
      <c r="B19" s="78" t="s">
        <v>150</v>
      </c>
      <c r="C19" s="79">
        <v>0.21199999999999999</v>
      </c>
      <c r="D19" s="78" t="s">
        <v>383</v>
      </c>
      <c r="E19" s="79" t="s">
        <v>28</v>
      </c>
      <c r="F19" s="130" t="s">
        <v>110</v>
      </c>
      <c r="G19" s="18" t="s">
        <v>15</v>
      </c>
      <c r="H19" s="12" t="s">
        <v>28</v>
      </c>
      <c r="I19" s="18" t="s">
        <v>163</v>
      </c>
    </row>
    <row r="20" spans="1:9" ht="15.75" thickBot="1">
      <c r="A20" s="77" t="s">
        <v>389</v>
      </c>
      <c r="B20" s="78" t="s">
        <v>150</v>
      </c>
      <c r="C20" s="79">
        <v>0.21199999999999999</v>
      </c>
      <c r="D20" s="78" t="s">
        <v>383</v>
      </c>
      <c r="E20" s="79" t="s">
        <v>28</v>
      </c>
      <c r="F20" s="130" t="s">
        <v>110</v>
      </c>
      <c r="G20" s="18" t="s">
        <v>15</v>
      </c>
      <c r="H20" s="12" t="s">
        <v>28</v>
      </c>
      <c r="I20" s="18" t="s">
        <v>163</v>
      </c>
    </row>
    <row r="21" spans="1:9" ht="15.75" thickBot="1">
      <c r="A21" s="77" t="s">
        <v>390</v>
      </c>
      <c r="B21" s="78" t="s">
        <v>150</v>
      </c>
      <c r="C21" s="79">
        <v>0.21199999999999999</v>
      </c>
      <c r="D21" s="78" t="s">
        <v>383</v>
      </c>
      <c r="E21" s="79" t="s">
        <v>28</v>
      </c>
      <c r="F21" s="130" t="s">
        <v>110</v>
      </c>
      <c r="G21" s="18" t="s">
        <v>15</v>
      </c>
      <c r="H21" s="12" t="s">
        <v>28</v>
      </c>
      <c r="I21" s="18" t="s">
        <v>163</v>
      </c>
    </row>
    <row r="22" spans="1:9" ht="15.75" thickBot="1">
      <c r="A22" s="77" t="s">
        <v>391</v>
      </c>
      <c r="B22" s="78" t="s">
        <v>150</v>
      </c>
      <c r="C22" s="79">
        <v>0.21199999999999999</v>
      </c>
      <c r="D22" s="78" t="s">
        <v>383</v>
      </c>
      <c r="E22" s="79" t="s">
        <v>28</v>
      </c>
      <c r="F22" s="130" t="s">
        <v>110</v>
      </c>
      <c r="G22" s="18" t="s">
        <v>15</v>
      </c>
      <c r="H22" s="12" t="s">
        <v>28</v>
      </c>
      <c r="I22" s="18" t="s">
        <v>163</v>
      </c>
    </row>
    <row r="23" spans="1:9" ht="15.75" thickBot="1">
      <c r="A23" s="77" t="s">
        <v>392</v>
      </c>
      <c r="B23" s="78" t="s">
        <v>150</v>
      </c>
      <c r="C23" s="79">
        <v>0.6</v>
      </c>
      <c r="D23" s="78" t="s">
        <v>383</v>
      </c>
      <c r="E23" s="79" t="s">
        <v>28</v>
      </c>
      <c r="F23" s="130" t="s">
        <v>110</v>
      </c>
      <c r="G23" s="18" t="s">
        <v>15</v>
      </c>
      <c r="H23" s="12" t="s">
        <v>28</v>
      </c>
      <c r="I23" s="18" t="s">
        <v>163</v>
      </c>
    </row>
    <row r="24" spans="1:9" ht="15.75" thickBot="1">
      <c r="A24" s="77" t="s">
        <v>393</v>
      </c>
      <c r="B24" s="78" t="s">
        <v>150</v>
      </c>
      <c r="C24" s="79">
        <v>0.21199999999999999</v>
      </c>
      <c r="D24" s="78" t="s">
        <v>383</v>
      </c>
      <c r="E24" s="79" t="s">
        <v>28</v>
      </c>
      <c r="F24" s="130" t="s">
        <v>110</v>
      </c>
      <c r="G24" s="18" t="s">
        <v>15</v>
      </c>
      <c r="H24" s="12" t="s">
        <v>28</v>
      </c>
      <c r="I24" s="18" t="s">
        <v>163</v>
      </c>
    </row>
    <row r="25" spans="1:9" ht="15.75" thickBot="1">
      <c r="A25" s="77" t="s">
        <v>394</v>
      </c>
      <c r="B25" s="78" t="s">
        <v>150</v>
      </c>
      <c r="C25" s="79">
        <v>0.21199999999999999</v>
      </c>
      <c r="D25" s="78" t="s">
        <v>383</v>
      </c>
      <c r="E25" s="79" t="s">
        <v>28</v>
      </c>
      <c r="F25" s="130" t="s">
        <v>110</v>
      </c>
      <c r="G25" s="18" t="s">
        <v>15</v>
      </c>
      <c r="H25" s="12" t="s">
        <v>28</v>
      </c>
      <c r="I25" s="18" t="s">
        <v>163</v>
      </c>
    </row>
    <row r="26" spans="1:9" ht="15.75" thickBot="1">
      <c r="A26" s="77" t="s">
        <v>395</v>
      </c>
      <c r="B26" s="78" t="s">
        <v>150</v>
      </c>
      <c r="C26" s="79">
        <v>0.21199999999999999</v>
      </c>
      <c r="D26" s="78" t="s">
        <v>383</v>
      </c>
      <c r="E26" s="79" t="s">
        <v>28</v>
      </c>
      <c r="F26" s="130" t="s">
        <v>110</v>
      </c>
      <c r="G26" s="18" t="s">
        <v>15</v>
      </c>
      <c r="H26" s="12" t="s">
        <v>28</v>
      </c>
      <c r="I26" s="18" t="s">
        <v>163</v>
      </c>
    </row>
    <row r="27" spans="1:9" ht="15.75" thickBot="1">
      <c r="A27" s="77" t="s">
        <v>396</v>
      </c>
      <c r="B27" s="78" t="s">
        <v>150</v>
      </c>
      <c r="C27" s="79">
        <v>0.21199999999999999</v>
      </c>
      <c r="D27" s="78" t="s">
        <v>383</v>
      </c>
      <c r="E27" s="79" t="s">
        <v>28</v>
      </c>
      <c r="F27" s="130" t="s">
        <v>110</v>
      </c>
      <c r="G27" s="18" t="s">
        <v>15</v>
      </c>
      <c r="H27" s="12" t="s">
        <v>28</v>
      </c>
      <c r="I27" s="18" t="s">
        <v>163</v>
      </c>
    </row>
    <row r="28" spans="1:9" ht="15.75" thickBot="1">
      <c r="A28" s="77" t="s">
        <v>397</v>
      </c>
      <c r="B28" s="78" t="s">
        <v>150</v>
      </c>
      <c r="C28" s="79">
        <v>0.21199999999999999</v>
      </c>
      <c r="D28" s="78" t="s">
        <v>383</v>
      </c>
      <c r="E28" s="79" t="s">
        <v>28</v>
      </c>
      <c r="F28" s="130" t="s">
        <v>110</v>
      </c>
      <c r="G28" s="18" t="s">
        <v>15</v>
      </c>
      <c r="H28" s="12" t="s">
        <v>28</v>
      </c>
      <c r="I28" s="18" t="s">
        <v>163</v>
      </c>
    </row>
    <row r="29" spans="1:9" ht="15.75" thickBot="1">
      <c r="A29" s="77" t="s">
        <v>398</v>
      </c>
      <c r="B29" s="78" t="s">
        <v>150</v>
      </c>
      <c r="C29" s="79">
        <v>0.51200000000000001</v>
      </c>
      <c r="D29" s="78" t="s">
        <v>383</v>
      </c>
      <c r="E29" s="79" t="s">
        <v>28</v>
      </c>
      <c r="F29" s="130" t="s">
        <v>110</v>
      </c>
      <c r="G29" s="18" t="s">
        <v>15</v>
      </c>
      <c r="H29" s="12" t="s">
        <v>28</v>
      </c>
      <c r="I29" s="18" t="s">
        <v>163</v>
      </c>
    </row>
    <row r="30" spans="1:9" ht="15.75" thickBot="1">
      <c r="A30" s="77" t="s">
        <v>134</v>
      </c>
      <c r="B30" s="78" t="s">
        <v>135</v>
      </c>
      <c r="C30" s="79">
        <v>1.35</v>
      </c>
      <c r="D30" s="78" t="s">
        <v>23</v>
      </c>
      <c r="E30" s="79" t="s">
        <v>22</v>
      </c>
      <c r="F30" s="130" t="s">
        <v>110</v>
      </c>
      <c r="G30" s="18" t="s">
        <v>15</v>
      </c>
      <c r="H30" s="12" t="s">
        <v>22</v>
      </c>
      <c r="I30" s="18" t="s">
        <v>163</v>
      </c>
    </row>
    <row r="31" spans="1:9" ht="15.75" thickBot="1">
      <c r="A31" s="77" t="s">
        <v>136</v>
      </c>
      <c r="B31" s="78" t="s">
        <v>93</v>
      </c>
      <c r="C31" s="79">
        <v>34.5</v>
      </c>
      <c r="D31" s="78" t="s">
        <v>16</v>
      </c>
      <c r="E31" s="79" t="s">
        <v>17</v>
      </c>
      <c r="F31" s="130" t="s">
        <v>110</v>
      </c>
      <c r="G31" s="18" t="s">
        <v>15</v>
      </c>
      <c r="H31" s="12" t="s">
        <v>17</v>
      </c>
      <c r="I31" s="18" t="s">
        <v>163</v>
      </c>
    </row>
    <row r="32" spans="1:9" ht="15.75" thickBot="1">
      <c r="A32" s="77" t="s">
        <v>137</v>
      </c>
      <c r="B32" s="78" t="s">
        <v>115</v>
      </c>
      <c r="C32" s="79">
        <v>0.5</v>
      </c>
      <c r="D32" s="78" t="s">
        <v>11</v>
      </c>
      <c r="E32" s="79" t="s">
        <v>12</v>
      </c>
      <c r="F32" s="130" t="s">
        <v>110</v>
      </c>
      <c r="G32" s="18" t="s">
        <v>15</v>
      </c>
      <c r="H32" s="12" t="s">
        <v>161</v>
      </c>
      <c r="I32" s="18" t="s">
        <v>163</v>
      </c>
    </row>
    <row r="33" spans="1:9" ht="15.75" thickBot="1">
      <c r="A33" s="77" t="s">
        <v>469</v>
      </c>
      <c r="B33" s="78" t="s">
        <v>89</v>
      </c>
      <c r="C33" s="79">
        <v>154</v>
      </c>
      <c r="D33" s="78" t="s">
        <v>19</v>
      </c>
      <c r="E33" s="79" t="s">
        <v>12</v>
      </c>
      <c r="F33" s="130" t="s">
        <v>110</v>
      </c>
      <c r="G33" s="18" t="s">
        <v>15</v>
      </c>
      <c r="H33" s="12" t="s">
        <v>19</v>
      </c>
      <c r="I33" s="18" t="s">
        <v>163</v>
      </c>
    </row>
    <row r="34" spans="1:9" ht="15.75" thickBot="1">
      <c r="A34" s="77" t="s">
        <v>470</v>
      </c>
      <c r="B34" s="78" t="s">
        <v>89</v>
      </c>
      <c r="C34" s="79">
        <v>123.2</v>
      </c>
      <c r="D34" s="78" t="s">
        <v>19</v>
      </c>
      <c r="E34" s="79" t="s">
        <v>12</v>
      </c>
      <c r="F34" s="130" t="s">
        <v>110</v>
      </c>
      <c r="G34" s="18" t="s">
        <v>15</v>
      </c>
      <c r="H34" s="12" t="s">
        <v>19</v>
      </c>
      <c r="I34" s="18" t="s">
        <v>163</v>
      </c>
    </row>
    <row r="35" spans="1:9" ht="15.75" thickBot="1">
      <c r="A35" s="77" t="s">
        <v>138</v>
      </c>
      <c r="B35" s="78" t="s">
        <v>139</v>
      </c>
      <c r="C35" s="79">
        <v>2.5</v>
      </c>
      <c r="D35" s="78" t="s">
        <v>23</v>
      </c>
      <c r="E35" s="79" t="s">
        <v>22</v>
      </c>
      <c r="F35" s="130" t="s">
        <v>110</v>
      </c>
      <c r="G35" s="18" t="s">
        <v>15</v>
      </c>
      <c r="H35" s="12" t="s">
        <v>22</v>
      </c>
      <c r="I35" s="18" t="s">
        <v>163</v>
      </c>
    </row>
    <row r="36" spans="1:9" ht="15.75" thickBot="1">
      <c r="A36" s="77" t="s">
        <v>140</v>
      </c>
      <c r="B36" s="78" t="s">
        <v>21</v>
      </c>
      <c r="C36" s="79">
        <v>90.75</v>
      </c>
      <c r="D36" s="78" t="s">
        <v>16</v>
      </c>
      <c r="E36" s="79" t="s">
        <v>17</v>
      </c>
      <c r="F36" s="130" t="s">
        <v>110</v>
      </c>
      <c r="G36" s="18" t="s">
        <v>15</v>
      </c>
      <c r="H36" s="12" t="s">
        <v>17</v>
      </c>
      <c r="I36" s="18" t="s">
        <v>163</v>
      </c>
    </row>
    <row r="37" spans="1:9" ht="15.75" thickBot="1">
      <c r="A37" s="77" t="s">
        <v>141</v>
      </c>
      <c r="B37" s="78" t="s">
        <v>142</v>
      </c>
      <c r="C37" s="79">
        <v>4.0999999999999996</v>
      </c>
      <c r="D37" s="78" t="s">
        <v>439</v>
      </c>
      <c r="E37" s="79" t="s">
        <v>113</v>
      </c>
      <c r="F37" s="130" t="s">
        <v>110</v>
      </c>
      <c r="G37" s="18" t="s">
        <v>15</v>
      </c>
      <c r="H37" s="12" t="s">
        <v>160</v>
      </c>
      <c r="I37" s="18" t="s">
        <v>163</v>
      </c>
    </row>
    <row r="38" spans="1:9" ht="15.75" thickBot="1">
      <c r="A38" s="77" t="s">
        <v>143</v>
      </c>
      <c r="B38" s="78" t="s">
        <v>142</v>
      </c>
      <c r="C38" s="79">
        <v>4.0999999999999996</v>
      </c>
      <c r="D38" s="78" t="s">
        <v>439</v>
      </c>
      <c r="E38" s="79" t="s">
        <v>113</v>
      </c>
      <c r="F38" s="130" t="s">
        <v>110</v>
      </c>
      <c r="G38" s="18" t="s">
        <v>15</v>
      </c>
      <c r="H38" s="12" t="s">
        <v>160</v>
      </c>
      <c r="I38" s="18" t="s">
        <v>163</v>
      </c>
    </row>
    <row r="39" spans="1:9" ht="15.75" thickBot="1">
      <c r="A39" s="77" t="s">
        <v>399</v>
      </c>
      <c r="B39" s="78" t="s">
        <v>150</v>
      </c>
      <c r="C39" s="79">
        <v>1.1399999999999999</v>
      </c>
      <c r="D39" s="78" t="s">
        <v>383</v>
      </c>
      <c r="E39" s="79" t="s">
        <v>28</v>
      </c>
      <c r="F39" s="130" t="s">
        <v>110</v>
      </c>
      <c r="G39" s="18" t="s">
        <v>15</v>
      </c>
      <c r="H39" s="12" t="s">
        <v>28</v>
      </c>
      <c r="I39" s="18" t="s">
        <v>163</v>
      </c>
    </row>
    <row r="40" spans="1:9" ht="15.75" thickBot="1">
      <c r="A40" s="77" t="s">
        <v>400</v>
      </c>
      <c r="B40" s="78" t="s">
        <v>150</v>
      </c>
      <c r="C40" s="79">
        <v>0.2</v>
      </c>
      <c r="D40" s="78" t="s">
        <v>383</v>
      </c>
      <c r="E40" s="79" t="s">
        <v>28</v>
      </c>
      <c r="F40" s="130" t="s">
        <v>110</v>
      </c>
      <c r="G40" s="18" t="s">
        <v>15</v>
      </c>
      <c r="H40" s="12" t="s">
        <v>28</v>
      </c>
      <c r="I40" s="18" t="s">
        <v>163</v>
      </c>
    </row>
    <row r="41" spans="1:9">
      <c r="A41" s="127" t="s">
        <v>144</v>
      </c>
      <c r="B41" s="128" t="s">
        <v>145</v>
      </c>
      <c r="C41" s="129">
        <v>1</v>
      </c>
      <c r="D41" s="128" t="s">
        <v>27</v>
      </c>
      <c r="E41" s="129" t="s">
        <v>28</v>
      </c>
      <c r="F41" s="130" t="s">
        <v>110</v>
      </c>
      <c r="G41" s="131" t="s">
        <v>15</v>
      </c>
      <c r="H41" s="132" t="s">
        <v>28</v>
      </c>
      <c r="I41" s="131" t="s">
        <v>163</v>
      </c>
    </row>
    <row r="42" spans="1:9" ht="15.75" thickBot="1"/>
    <row r="43" spans="1:9" ht="15.75" thickBot="1">
      <c r="A43" s="57" t="s">
        <v>96</v>
      </c>
      <c r="B43" s="95"/>
      <c r="C43" s="97">
        <f>SUM(existingnstable[Nameplate Capacity (MW)])</f>
        <v>751.78880000000004</v>
      </c>
      <c r="D43" s="95"/>
      <c r="E43" s="96"/>
      <c r="F43" s="95"/>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61"/>
  <sheetViews>
    <sheetView zoomScale="115" zoomScaleNormal="115" workbookViewId="0"/>
  </sheetViews>
  <sheetFormatPr defaultColWidth="9.140625" defaultRowHeight="15"/>
  <cols>
    <col min="1" max="1" width="48.7109375" style="27" bestFit="1" customWidth="1"/>
    <col min="2" max="2" width="32.5703125" style="27" bestFit="1" customWidth="1"/>
    <col min="3" max="3" width="20.42578125" style="27" bestFit="1" customWidth="1"/>
    <col min="4" max="4" width="26" style="27" bestFit="1" customWidth="1"/>
    <col min="5" max="5" width="20.5703125" style="27" bestFit="1" customWidth="1"/>
    <col min="6" max="6" width="14.7109375" style="27" bestFit="1" customWidth="1"/>
    <col min="7" max="7" width="25.5703125" style="27" bestFit="1" customWidth="1"/>
    <col min="8" max="8" width="16.5703125" style="27" bestFit="1" customWidth="1"/>
    <col min="9" max="9" width="26" style="27" bestFit="1" customWidth="1"/>
    <col min="10" max="10" width="81.140625" style="27" bestFit="1" customWidth="1"/>
    <col min="11" max="11" width="28.5703125" style="27" hidden="1" customWidth="1"/>
    <col min="12" max="12" width="17.85546875" style="27" hidden="1" customWidth="1"/>
    <col min="13" max="13" width="10.7109375" style="27" hidden="1" customWidth="1"/>
    <col min="14" max="14" width="19.5703125" style="27" hidden="1" customWidth="1"/>
    <col min="15" max="15" width="19.5703125" style="70" hidden="1" customWidth="1"/>
    <col min="16" max="16384" width="9.140625" style="27"/>
  </cols>
  <sheetData>
    <row r="1" spans="1:15" ht="20.25" thickBot="1">
      <c r="A1" s="63" t="s">
        <v>146</v>
      </c>
    </row>
    <row r="2" spans="1:15" ht="23.25" thickBot="1">
      <c r="A2" s="67" t="s">
        <v>147</v>
      </c>
      <c r="B2" s="68" t="s">
        <v>2</v>
      </c>
      <c r="C2" s="68" t="s">
        <v>601</v>
      </c>
      <c r="D2" s="68" t="s">
        <v>3</v>
      </c>
      <c r="E2" s="68" t="s">
        <v>4</v>
      </c>
      <c r="F2" s="68" t="s">
        <v>148</v>
      </c>
      <c r="G2" s="68" t="s">
        <v>109</v>
      </c>
      <c r="H2" s="68" t="s">
        <v>5</v>
      </c>
      <c r="I2" s="68" t="s">
        <v>149</v>
      </c>
      <c r="J2" s="68" t="s">
        <v>441</v>
      </c>
      <c r="K2" s="9" t="s">
        <v>168</v>
      </c>
      <c r="L2" s="9" t="s">
        <v>169</v>
      </c>
      <c r="M2" s="9" t="s">
        <v>170</v>
      </c>
      <c r="N2" s="9" t="s">
        <v>171</v>
      </c>
      <c r="O2" s="10" t="s">
        <v>172</v>
      </c>
    </row>
    <row r="3" spans="1:15" ht="15.75" thickBot="1">
      <c r="A3" s="80" t="s">
        <v>522</v>
      </c>
      <c r="B3" s="75" t="s">
        <v>26</v>
      </c>
      <c r="C3" s="81" t="s">
        <v>150</v>
      </c>
      <c r="D3" s="82" t="s">
        <v>523</v>
      </c>
      <c r="E3" s="81" t="s">
        <v>28</v>
      </c>
      <c r="F3" s="82" t="s">
        <v>173</v>
      </c>
      <c r="G3" s="81" t="s">
        <v>524</v>
      </c>
      <c r="H3" s="82" t="s">
        <v>150</v>
      </c>
      <c r="I3" s="81" t="s">
        <v>481</v>
      </c>
      <c r="J3" s="82" t="s">
        <v>525</v>
      </c>
      <c r="K3" s="117" t="s">
        <v>165</v>
      </c>
      <c r="L3" s="72">
        <v>5</v>
      </c>
      <c r="M3" s="117" t="s">
        <v>151</v>
      </c>
      <c r="N3" s="72" t="s">
        <v>15</v>
      </c>
      <c r="O3" s="117" t="s">
        <v>28</v>
      </c>
    </row>
    <row r="4" spans="1:15" ht="15.75" thickBot="1">
      <c r="A4" s="83" t="s">
        <v>195</v>
      </c>
      <c r="B4" s="78" t="s">
        <v>196</v>
      </c>
      <c r="C4" s="84" t="s">
        <v>197</v>
      </c>
      <c r="D4" s="85" t="s">
        <v>198</v>
      </c>
      <c r="E4" s="84" t="s">
        <v>28</v>
      </c>
      <c r="F4" s="85" t="s">
        <v>177</v>
      </c>
      <c r="G4" s="84" t="s">
        <v>179</v>
      </c>
      <c r="H4" s="85" t="s">
        <v>13</v>
      </c>
      <c r="I4" s="84" t="s">
        <v>481</v>
      </c>
      <c r="J4" s="85" t="s">
        <v>442</v>
      </c>
      <c r="K4" s="117" t="s">
        <v>165</v>
      </c>
      <c r="L4" s="72">
        <v>150</v>
      </c>
      <c r="M4" s="117" t="s">
        <v>151</v>
      </c>
      <c r="N4" s="72" t="s">
        <v>15</v>
      </c>
      <c r="O4" s="117" t="s">
        <v>28</v>
      </c>
    </row>
    <row r="5" spans="1:15" ht="15.75" thickBot="1">
      <c r="A5" s="83" t="s">
        <v>98</v>
      </c>
      <c r="B5" s="78" t="s">
        <v>26</v>
      </c>
      <c r="C5" s="84" t="s">
        <v>99</v>
      </c>
      <c r="D5" s="85" t="s">
        <v>439</v>
      </c>
      <c r="E5" s="84" t="s">
        <v>20</v>
      </c>
      <c r="F5" s="85" t="s">
        <v>164</v>
      </c>
      <c r="G5" s="84" t="s">
        <v>199</v>
      </c>
      <c r="H5" s="85" t="s">
        <v>13</v>
      </c>
      <c r="I5" s="84" t="s">
        <v>194</v>
      </c>
      <c r="J5" s="85"/>
      <c r="K5" s="117" t="s">
        <v>164</v>
      </c>
      <c r="L5" s="72">
        <v>210</v>
      </c>
      <c r="M5" s="117" t="s">
        <v>151</v>
      </c>
      <c r="N5" s="72" t="s">
        <v>15</v>
      </c>
      <c r="O5" s="117" t="s">
        <v>159</v>
      </c>
    </row>
    <row r="6" spans="1:15" ht="15.75" thickBot="1">
      <c r="A6" s="83" t="s">
        <v>200</v>
      </c>
      <c r="B6" s="78" t="s">
        <v>201</v>
      </c>
      <c r="C6" s="84" t="s">
        <v>202</v>
      </c>
      <c r="D6" s="85" t="s">
        <v>16</v>
      </c>
      <c r="E6" s="84" t="s">
        <v>17</v>
      </c>
      <c r="F6" s="85" t="s">
        <v>173</v>
      </c>
      <c r="G6" s="84" t="s">
        <v>203</v>
      </c>
      <c r="H6" s="85" t="s">
        <v>18</v>
      </c>
      <c r="I6" s="84" t="s">
        <v>481</v>
      </c>
      <c r="J6" s="85"/>
      <c r="K6" s="117" t="s">
        <v>165</v>
      </c>
      <c r="L6" s="72">
        <v>187</v>
      </c>
      <c r="M6" s="117" t="s">
        <v>151</v>
      </c>
      <c r="N6" s="72" t="s">
        <v>15</v>
      </c>
      <c r="O6" s="117" t="s">
        <v>17</v>
      </c>
    </row>
    <row r="7" spans="1:15" ht="15.75" thickBot="1">
      <c r="A7" s="83" t="s">
        <v>591</v>
      </c>
      <c r="B7" s="78" t="s">
        <v>592</v>
      </c>
      <c r="C7" s="84" t="s">
        <v>97</v>
      </c>
      <c r="D7" s="85" t="s">
        <v>568</v>
      </c>
      <c r="E7" s="84" t="s">
        <v>22</v>
      </c>
      <c r="F7" s="85" t="s">
        <v>173</v>
      </c>
      <c r="G7" s="84" t="s">
        <v>593</v>
      </c>
      <c r="H7" s="85" t="s">
        <v>13</v>
      </c>
      <c r="I7" s="84"/>
      <c r="J7" s="85" t="s">
        <v>594</v>
      </c>
      <c r="K7" s="117" t="s">
        <v>165</v>
      </c>
      <c r="L7" s="72">
        <v>270</v>
      </c>
      <c r="M7" s="117" t="s">
        <v>151</v>
      </c>
      <c r="N7" s="72" t="s">
        <v>15</v>
      </c>
      <c r="O7" s="117" t="s">
        <v>22</v>
      </c>
    </row>
    <row r="8" spans="1:15" ht="15.75" thickBot="1">
      <c r="A8" s="83" t="s">
        <v>595</v>
      </c>
      <c r="B8" s="78" t="s">
        <v>592</v>
      </c>
      <c r="C8" s="86" t="s">
        <v>97</v>
      </c>
      <c r="D8" s="85" t="s">
        <v>27</v>
      </c>
      <c r="E8" s="86" t="s">
        <v>28</v>
      </c>
      <c r="F8" s="85" t="s">
        <v>173</v>
      </c>
      <c r="G8" s="86" t="s">
        <v>182</v>
      </c>
      <c r="H8" s="85" t="s">
        <v>18</v>
      </c>
      <c r="I8" s="86"/>
      <c r="J8" s="85" t="s">
        <v>596</v>
      </c>
      <c r="K8" s="117" t="s">
        <v>165</v>
      </c>
      <c r="L8" s="72">
        <v>300</v>
      </c>
      <c r="M8" s="117" t="s">
        <v>151</v>
      </c>
      <c r="N8" s="72" t="s">
        <v>15</v>
      </c>
      <c r="O8" s="117" t="s">
        <v>28</v>
      </c>
    </row>
    <row r="9" spans="1:15" ht="15.75" thickBot="1">
      <c r="A9" s="83" t="s">
        <v>407</v>
      </c>
      <c r="B9" s="78" t="s">
        <v>206</v>
      </c>
      <c r="C9" s="86" t="s">
        <v>100</v>
      </c>
      <c r="D9" s="85" t="s">
        <v>150</v>
      </c>
      <c r="E9" s="86" t="s">
        <v>28</v>
      </c>
      <c r="F9" s="85" t="s">
        <v>173</v>
      </c>
      <c r="G9" s="86" t="s">
        <v>526</v>
      </c>
      <c r="H9" s="85" t="s">
        <v>18</v>
      </c>
      <c r="I9" s="86" t="s">
        <v>481</v>
      </c>
      <c r="J9" s="85"/>
      <c r="K9" s="117" t="s">
        <v>165</v>
      </c>
      <c r="L9" s="72">
        <v>80</v>
      </c>
      <c r="M9" s="117" t="s">
        <v>151</v>
      </c>
      <c r="N9" s="72" t="s">
        <v>15</v>
      </c>
      <c r="O9" s="117" t="s">
        <v>28</v>
      </c>
    </row>
    <row r="10" spans="1:15" ht="15.75" thickBot="1">
      <c r="A10" s="83" t="s">
        <v>207</v>
      </c>
      <c r="B10" s="78" t="s">
        <v>205</v>
      </c>
      <c r="C10" s="86" t="s">
        <v>208</v>
      </c>
      <c r="D10" s="85" t="s">
        <v>29</v>
      </c>
      <c r="E10" s="86" t="s">
        <v>28</v>
      </c>
      <c r="F10" s="85" t="s">
        <v>164</v>
      </c>
      <c r="G10" s="86" t="s">
        <v>183</v>
      </c>
      <c r="H10" s="85" t="s">
        <v>18</v>
      </c>
      <c r="I10" s="86" t="s">
        <v>575</v>
      </c>
      <c r="J10" s="85"/>
      <c r="K10" s="117" t="s">
        <v>164</v>
      </c>
      <c r="L10" s="72">
        <v>110</v>
      </c>
      <c r="M10" s="117" t="s">
        <v>151</v>
      </c>
      <c r="N10" s="72" t="s">
        <v>15</v>
      </c>
      <c r="O10" s="117" t="s">
        <v>28</v>
      </c>
    </row>
    <row r="11" spans="1:15" ht="15.75" thickBot="1">
      <c r="A11" s="83" t="s">
        <v>482</v>
      </c>
      <c r="B11" s="78" t="s">
        <v>527</v>
      </c>
      <c r="C11" s="86" t="s">
        <v>150</v>
      </c>
      <c r="D11" s="85" t="s">
        <v>29</v>
      </c>
      <c r="E11" s="86" t="s">
        <v>28</v>
      </c>
      <c r="F11" s="85" t="s">
        <v>173</v>
      </c>
      <c r="G11" s="86" t="s">
        <v>483</v>
      </c>
      <c r="H11" s="85" t="s">
        <v>18</v>
      </c>
      <c r="I11" s="86" t="s">
        <v>481</v>
      </c>
      <c r="J11" s="85" t="s">
        <v>484</v>
      </c>
      <c r="K11" s="117" t="s">
        <v>165</v>
      </c>
      <c r="L11" s="72">
        <v>280</v>
      </c>
      <c r="M11" s="117" t="s">
        <v>151</v>
      </c>
      <c r="N11" s="72" t="s">
        <v>15</v>
      </c>
      <c r="O11" s="117" t="s">
        <v>28</v>
      </c>
    </row>
    <row r="12" spans="1:15" ht="15.75" thickBot="1">
      <c r="A12" s="83" t="s">
        <v>426</v>
      </c>
      <c r="B12" s="78" t="s">
        <v>427</v>
      </c>
      <c r="C12" s="86" t="s">
        <v>268</v>
      </c>
      <c r="D12" s="85" t="s">
        <v>16</v>
      </c>
      <c r="E12" s="86" t="s">
        <v>17</v>
      </c>
      <c r="F12" s="85" t="s">
        <v>173</v>
      </c>
      <c r="G12" s="86" t="s">
        <v>428</v>
      </c>
      <c r="H12" s="85" t="s">
        <v>18</v>
      </c>
      <c r="I12" s="86" t="s">
        <v>481</v>
      </c>
      <c r="J12" s="85" t="s">
        <v>460</v>
      </c>
      <c r="K12" s="117" t="s">
        <v>165</v>
      </c>
      <c r="L12" s="72">
        <v>175</v>
      </c>
      <c r="M12" s="117" t="s">
        <v>151</v>
      </c>
      <c r="N12" s="72" t="s">
        <v>15</v>
      </c>
      <c r="O12" s="117" t="s">
        <v>17</v>
      </c>
    </row>
    <row r="13" spans="1:15" ht="15.75" thickBot="1">
      <c r="A13" s="83" t="s">
        <v>211</v>
      </c>
      <c r="B13" s="78" t="s">
        <v>212</v>
      </c>
      <c r="C13" s="86" t="s">
        <v>105</v>
      </c>
      <c r="D13" s="85" t="s">
        <v>16</v>
      </c>
      <c r="E13" s="86" t="s">
        <v>17</v>
      </c>
      <c r="F13" s="85" t="s">
        <v>173</v>
      </c>
      <c r="G13" s="86" t="s">
        <v>154</v>
      </c>
      <c r="H13" s="85" t="s">
        <v>18</v>
      </c>
      <c r="I13" s="86" t="s">
        <v>481</v>
      </c>
      <c r="J13" s="85"/>
      <c r="K13" s="117" t="s">
        <v>165</v>
      </c>
      <c r="L13" s="72">
        <v>144</v>
      </c>
      <c r="M13" s="117" t="s">
        <v>151</v>
      </c>
      <c r="N13" s="72" t="s">
        <v>15</v>
      </c>
      <c r="O13" s="117" t="s">
        <v>17</v>
      </c>
    </row>
    <row r="14" spans="1:15" ht="15.75" thickBot="1">
      <c r="A14" s="83" t="s">
        <v>213</v>
      </c>
      <c r="B14" s="78" t="s">
        <v>214</v>
      </c>
      <c r="C14" s="86" t="s">
        <v>215</v>
      </c>
      <c r="D14" s="85" t="s">
        <v>568</v>
      </c>
      <c r="E14" s="86" t="s">
        <v>22</v>
      </c>
      <c r="F14" s="85" t="s">
        <v>173</v>
      </c>
      <c r="G14" s="86" t="s">
        <v>216</v>
      </c>
      <c r="H14" s="85" t="s">
        <v>13</v>
      </c>
      <c r="I14" s="86" t="s">
        <v>217</v>
      </c>
      <c r="J14" s="85" t="s">
        <v>443</v>
      </c>
      <c r="K14" s="117" t="s">
        <v>165</v>
      </c>
      <c r="L14" s="72">
        <v>230</v>
      </c>
      <c r="M14" s="117" t="s">
        <v>151</v>
      </c>
      <c r="N14" s="72" t="s">
        <v>15</v>
      </c>
      <c r="O14" s="117" t="s">
        <v>22</v>
      </c>
    </row>
    <row r="15" spans="1:15" ht="15.75" thickBot="1">
      <c r="A15" s="83" t="s">
        <v>586</v>
      </c>
      <c r="B15" s="78" t="s">
        <v>44</v>
      </c>
      <c r="C15" s="86" t="s">
        <v>587</v>
      </c>
      <c r="D15" s="85" t="s">
        <v>150</v>
      </c>
      <c r="E15" s="86" t="s">
        <v>20</v>
      </c>
      <c r="F15" s="85" t="s">
        <v>185</v>
      </c>
      <c r="G15" s="86" t="s">
        <v>588</v>
      </c>
      <c r="H15" s="85" t="s">
        <v>13</v>
      </c>
      <c r="I15" s="86" t="s">
        <v>590</v>
      </c>
      <c r="J15" s="85" t="s">
        <v>589</v>
      </c>
      <c r="K15" s="117" t="s">
        <v>165</v>
      </c>
      <c r="L15" s="72">
        <v>35</v>
      </c>
      <c r="M15" s="117" t="s">
        <v>151</v>
      </c>
      <c r="N15" s="72" t="s">
        <v>15</v>
      </c>
      <c r="O15" s="117" t="s">
        <v>19</v>
      </c>
    </row>
    <row r="16" spans="1:15" ht="15.75" thickBot="1">
      <c r="A16" s="83" t="s">
        <v>485</v>
      </c>
      <c r="B16" s="78" t="s">
        <v>486</v>
      </c>
      <c r="C16" s="86" t="s">
        <v>150</v>
      </c>
      <c r="D16" s="85" t="s">
        <v>440</v>
      </c>
      <c r="E16" s="86" t="s">
        <v>570</v>
      </c>
      <c r="F16" s="85" t="s">
        <v>173</v>
      </c>
      <c r="G16" s="86" t="s">
        <v>487</v>
      </c>
      <c r="H16" s="85" t="s">
        <v>150</v>
      </c>
      <c r="I16" s="86" t="s">
        <v>481</v>
      </c>
      <c r="J16" s="85" t="s">
        <v>488</v>
      </c>
      <c r="K16" s="117" t="s">
        <v>165</v>
      </c>
      <c r="L16" s="72">
        <v>1</v>
      </c>
      <c r="M16" s="117" t="s">
        <v>151</v>
      </c>
      <c r="N16" s="72" t="s">
        <v>15</v>
      </c>
      <c r="O16" s="117" t="s">
        <v>440</v>
      </c>
    </row>
    <row r="17" spans="1:15" ht="15.75" thickBot="1">
      <c r="A17" s="83" t="s">
        <v>218</v>
      </c>
      <c r="B17" s="78" t="s">
        <v>190</v>
      </c>
      <c r="C17" s="86" t="s">
        <v>219</v>
      </c>
      <c r="D17" s="85" t="s">
        <v>568</v>
      </c>
      <c r="E17" s="86" t="s">
        <v>22</v>
      </c>
      <c r="F17" s="85" t="s">
        <v>173</v>
      </c>
      <c r="G17" s="86" t="s">
        <v>182</v>
      </c>
      <c r="H17" s="85" t="s">
        <v>13</v>
      </c>
      <c r="I17" s="86" t="s">
        <v>481</v>
      </c>
      <c r="J17" s="85" t="s">
        <v>542</v>
      </c>
      <c r="K17" s="117" t="s">
        <v>165</v>
      </c>
      <c r="L17" s="72">
        <v>300</v>
      </c>
      <c r="M17" s="117" t="s">
        <v>151</v>
      </c>
      <c r="N17" s="72" t="s">
        <v>15</v>
      </c>
      <c r="O17" s="117" t="s">
        <v>22</v>
      </c>
    </row>
    <row r="18" spans="1:15" ht="15.75" thickBot="1">
      <c r="A18" s="83" t="s">
        <v>220</v>
      </c>
      <c r="B18" s="78" t="s">
        <v>221</v>
      </c>
      <c r="C18" s="86" t="s">
        <v>180</v>
      </c>
      <c r="D18" s="85" t="s">
        <v>16</v>
      </c>
      <c r="E18" s="86" t="s">
        <v>17</v>
      </c>
      <c r="F18" s="85" t="s">
        <v>173</v>
      </c>
      <c r="G18" s="86" t="s">
        <v>222</v>
      </c>
      <c r="H18" s="85" t="s">
        <v>18</v>
      </c>
      <c r="I18" s="86" t="s">
        <v>223</v>
      </c>
      <c r="J18" s="85" t="s">
        <v>460</v>
      </c>
      <c r="K18" s="117" t="s">
        <v>165</v>
      </c>
      <c r="L18" s="72">
        <v>176</v>
      </c>
      <c r="M18" s="117" t="s">
        <v>151</v>
      </c>
      <c r="N18" s="72" t="s">
        <v>15</v>
      </c>
      <c r="O18" s="117" t="s">
        <v>17</v>
      </c>
    </row>
    <row r="19" spans="1:15" ht="15.75" thickBot="1">
      <c r="A19" s="83" t="s">
        <v>543</v>
      </c>
      <c r="B19" s="78" t="s">
        <v>189</v>
      </c>
      <c r="C19" s="86" t="s">
        <v>104</v>
      </c>
      <c r="D19" s="85" t="s">
        <v>29</v>
      </c>
      <c r="E19" s="86" t="s">
        <v>28</v>
      </c>
      <c r="F19" s="85" t="s">
        <v>173</v>
      </c>
      <c r="G19" s="86" t="s">
        <v>610</v>
      </c>
      <c r="H19" s="85" t="s">
        <v>18</v>
      </c>
      <c r="I19" s="86" t="s">
        <v>481</v>
      </c>
      <c r="J19" s="85"/>
      <c r="K19" s="117" t="s">
        <v>165</v>
      </c>
      <c r="L19" s="72">
        <v>120</v>
      </c>
      <c r="M19" s="117" t="s">
        <v>151</v>
      </c>
      <c r="N19" s="72" t="s">
        <v>15</v>
      </c>
      <c r="O19" s="117" t="s">
        <v>28</v>
      </c>
    </row>
    <row r="20" spans="1:15" ht="15.75" thickBot="1">
      <c r="A20" s="83" t="s">
        <v>544</v>
      </c>
      <c r="B20" s="78" t="s">
        <v>189</v>
      </c>
      <c r="C20" s="86" t="s">
        <v>150</v>
      </c>
      <c r="D20" s="85" t="s">
        <v>440</v>
      </c>
      <c r="E20" s="86" t="s">
        <v>570</v>
      </c>
      <c r="F20" s="85" t="s">
        <v>173</v>
      </c>
      <c r="G20" s="86" t="s">
        <v>545</v>
      </c>
      <c r="H20" s="85" t="s">
        <v>13</v>
      </c>
      <c r="I20" s="86"/>
      <c r="J20" s="85" t="s">
        <v>546</v>
      </c>
      <c r="K20" s="117" t="s">
        <v>165</v>
      </c>
      <c r="L20" s="72">
        <v>100</v>
      </c>
      <c r="M20" s="117" t="s">
        <v>151</v>
      </c>
      <c r="N20" s="72" t="s">
        <v>15</v>
      </c>
      <c r="O20" s="117" t="s">
        <v>440</v>
      </c>
    </row>
    <row r="21" spans="1:15" ht="15.75" thickBot="1">
      <c r="A21" s="83" t="s">
        <v>579</v>
      </c>
      <c r="B21" s="78" t="s">
        <v>176</v>
      </c>
      <c r="C21" s="86" t="s">
        <v>97</v>
      </c>
      <c r="D21" s="85" t="s">
        <v>440</v>
      </c>
      <c r="E21" s="86" t="s">
        <v>570</v>
      </c>
      <c r="F21" s="85" t="s">
        <v>174</v>
      </c>
      <c r="G21" s="86" t="s">
        <v>599</v>
      </c>
      <c r="H21" s="85" t="s">
        <v>13</v>
      </c>
      <c r="I21" s="86" t="s">
        <v>602</v>
      </c>
      <c r="J21" s="85"/>
      <c r="K21" s="117" t="s">
        <v>164</v>
      </c>
      <c r="L21" s="72">
        <v>25</v>
      </c>
      <c r="M21" s="117" t="s">
        <v>151</v>
      </c>
      <c r="N21" s="72" t="s">
        <v>15</v>
      </c>
      <c r="O21" s="117" t="s">
        <v>440</v>
      </c>
    </row>
    <row r="22" spans="1:15" ht="15.75" thickBot="1">
      <c r="A22" s="83" t="s">
        <v>224</v>
      </c>
      <c r="B22" s="78" t="s">
        <v>225</v>
      </c>
      <c r="C22" s="86" t="s">
        <v>97</v>
      </c>
      <c r="D22" s="85" t="s">
        <v>25</v>
      </c>
      <c r="E22" s="86" t="s">
        <v>226</v>
      </c>
      <c r="F22" s="85" t="s">
        <v>173</v>
      </c>
      <c r="G22" s="86" t="s">
        <v>227</v>
      </c>
      <c r="H22" s="85" t="s">
        <v>153</v>
      </c>
      <c r="I22" s="86" t="s">
        <v>481</v>
      </c>
      <c r="J22" s="85" t="s">
        <v>444</v>
      </c>
      <c r="K22" s="117" t="s">
        <v>165</v>
      </c>
      <c r="L22" s="72">
        <v>45</v>
      </c>
      <c r="M22" s="117" t="s">
        <v>151</v>
      </c>
      <c r="N22" s="72" t="s">
        <v>15</v>
      </c>
      <c r="O22" s="117" t="s">
        <v>32</v>
      </c>
    </row>
    <row r="23" spans="1:15" ht="15.75" thickBot="1">
      <c r="A23" s="83" t="s">
        <v>228</v>
      </c>
      <c r="B23" s="78" t="s">
        <v>229</v>
      </c>
      <c r="C23" s="86" t="s">
        <v>230</v>
      </c>
      <c r="D23" s="85" t="s">
        <v>440</v>
      </c>
      <c r="E23" s="86" t="s">
        <v>570</v>
      </c>
      <c r="F23" s="85" t="s">
        <v>177</v>
      </c>
      <c r="G23" s="86" t="s">
        <v>103</v>
      </c>
      <c r="H23" s="85" t="s">
        <v>13</v>
      </c>
      <c r="I23" s="86" t="s">
        <v>481</v>
      </c>
      <c r="J23" s="85" t="s">
        <v>445</v>
      </c>
      <c r="K23" s="117" t="s">
        <v>165</v>
      </c>
      <c r="L23" s="72">
        <v>10</v>
      </c>
      <c r="M23" s="117" t="s">
        <v>151</v>
      </c>
      <c r="N23" s="72" t="s">
        <v>15</v>
      </c>
      <c r="O23" s="117" t="s">
        <v>440</v>
      </c>
    </row>
    <row r="24" spans="1:15" ht="15.75" thickBot="1">
      <c r="A24" s="83" t="s">
        <v>101</v>
      </c>
      <c r="B24" s="78" t="s">
        <v>229</v>
      </c>
      <c r="C24" s="86" t="s">
        <v>102</v>
      </c>
      <c r="D24" s="85" t="s">
        <v>16</v>
      </c>
      <c r="E24" s="86" t="s">
        <v>17</v>
      </c>
      <c r="F24" s="85" t="s">
        <v>164</v>
      </c>
      <c r="G24" s="86" t="s">
        <v>231</v>
      </c>
      <c r="H24" s="85" t="s">
        <v>18</v>
      </c>
      <c r="I24" s="86" t="s">
        <v>232</v>
      </c>
      <c r="J24" s="85" t="s">
        <v>445</v>
      </c>
      <c r="K24" s="117" t="s">
        <v>164</v>
      </c>
      <c r="L24" s="72">
        <v>126</v>
      </c>
      <c r="M24" s="117" t="s">
        <v>151</v>
      </c>
      <c r="N24" s="72" t="s">
        <v>15</v>
      </c>
      <c r="O24" s="117" t="s">
        <v>17</v>
      </c>
    </row>
    <row r="25" spans="1:15" ht="15.75" thickBot="1">
      <c r="A25" s="83" t="s">
        <v>233</v>
      </c>
      <c r="B25" s="78" t="s">
        <v>229</v>
      </c>
      <c r="C25" s="86" t="s">
        <v>234</v>
      </c>
      <c r="D25" s="85" t="s">
        <v>16</v>
      </c>
      <c r="E25" s="86" t="s">
        <v>17</v>
      </c>
      <c r="F25" s="85" t="s">
        <v>185</v>
      </c>
      <c r="G25" s="86" t="s">
        <v>235</v>
      </c>
      <c r="H25" s="85" t="s">
        <v>18</v>
      </c>
      <c r="I25" s="86" t="s">
        <v>481</v>
      </c>
      <c r="J25" s="85" t="s">
        <v>445</v>
      </c>
      <c r="K25" s="117" t="s">
        <v>165</v>
      </c>
      <c r="L25" s="72">
        <v>86</v>
      </c>
      <c r="M25" s="117" t="s">
        <v>151</v>
      </c>
      <c r="N25" s="72" t="s">
        <v>15</v>
      </c>
      <c r="O25" s="117" t="s">
        <v>17</v>
      </c>
    </row>
    <row r="26" spans="1:15" ht="15.75" thickBot="1">
      <c r="A26" s="83" t="s">
        <v>489</v>
      </c>
      <c r="B26" s="78" t="s">
        <v>490</v>
      </c>
      <c r="C26" s="86" t="s">
        <v>150</v>
      </c>
      <c r="D26" s="85" t="s">
        <v>27</v>
      </c>
      <c r="E26" s="86" t="s">
        <v>28</v>
      </c>
      <c r="F26" s="85" t="s">
        <v>173</v>
      </c>
      <c r="G26" s="86" t="s">
        <v>491</v>
      </c>
      <c r="H26" s="85" t="s">
        <v>18</v>
      </c>
      <c r="I26" s="86" t="s">
        <v>481</v>
      </c>
      <c r="J26" s="85" t="s">
        <v>492</v>
      </c>
      <c r="K26" s="117" t="s">
        <v>165</v>
      </c>
      <c r="L26" s="72">
        <v>176</v>
      </c>
      <c r="M26" s="117" t="s">
        <v>151</v>
      </c>
      <c r="N26" s="72" t="s">
        <v>15</v>
      </c>
      <c r="O26" s="117" t="s">
        <v>28</v>
      </c>
    </row>
    <row r="27" spans="1:15" ht="15.75" thickBot="1">
      <c r="A27" s="83" t="s">
        <v>236</v>
      </c>
      <c r="B27" s="78" t="s">
        <v>186</v>
      </c>
      <c r="C27" s="86" t="s">
        <v>237</v>
      </c>
      <c r="D27" s="85" t="s">
        <v>16</v>
      </c>
      <c r="E27" s="86" t="s">
        <v>17</v>
      </c>
      <c r="F27" s="85" t="s">
        <v>173</v>
      </c>
      <c r="G27" s="86" t="s">
        <v>238</v>
      </c>
      <c r="H27" s="85" t="s">
        <v>18</v>
      </c>
      <c r="I27" s="86" t="s">
        <v>223</v>
      </c>
      <c r="J27" s="85"/>
      <c r="K27" s="117" t="s">
        <v>165</v>
      </c>
      <c r="L27" s="72">
        <v>375</v>
      </c>
      <c r="M27" s="117" t="s">
        <v>151</v>
      </c>
      <c r="N27" s="72" t="s">
        <v>15</v>
      </c>
      <c r="O27" s="117" t="s">
        <v>17</v>
      </c>
    </row>
    <row r="28" spans="1:15" ht="15.75" thickBot="1">
      <c r="A28" s="83" t="s">
        <v>429</v>
      </c>
      <c r="B28" s="78" t="s">
        <v>78</v>
      </c>
      <c r="C28" s="86" t="s">
        <v>430</v>
      </c>
      <c r="D28" s="85" t="s">
        <v>19</v>
      </c>
      <c r="E28" s="86" t="s">
        <v>20</v>
      </c>
      <c r="F28" s="85" t="s">
        <v>173</v>
      </c>
      <c r="G28" s="86" t="s">
        <v>493</v>
      </c>
      <c r="H28" s="85" t="s">
        <v>13</v>
      </c>
      <c r="I28" s="86" t="s">
        <v>481</v>
      </c>
      <c r="J28" s="85"/>
      <c r="K28" s="117" t="s">
        <v>165</v>
      </c>
      <c r="L28" s="72">
        <v>320</v>
      </c>
      <c r="M28" s="117" t="s">
        <v>151</v>
      </c>
      <c r="N28" s="72" t="s">
        <v>15</v>
      </c>
      <c r="O28" s="117" t="s">
        <v>19</v>
      </c>
    </row>
    <row r="29" spans="1:15" ht="15.75" thickBot="1">
      <c r="A29" s="83" t="s">
        <v>446</v>
      </c>
      <c r="B29" s="78" t="s">
        <v>447</v>
      </c>
      <c r="C29" s="86" t="s">
        <v>28</v>
      </c>
      <c r="D29" s="85" t="s">
        <v>27</v>
      </c>
      <c r="E29" s="86" t="s">
        <v>28</v>
      </c>
      <c r="F29" s="85" t="s">
        <v>173</v>
      </c>
      <c r="G29" s="86" t="s">
        <v>448</v>
      </c>
      <c r="H29" s="85" t="s">
        <v>153</v>
      </c>
      <c r="I29" s="86" t="s">
        <v>481</v>
      </c>
      <c r="J29" s="85"/>
      <c r="K29" s="117" t="s">
        <v>165</v>
      </c>
      <c r="L29" s="72">
        <v>5.7</v>
      </c>
      <c r="M29" s="117" t="s">
        <v>151</v>
      </c>
      <c r="N29" s="72" t="s">
        <v>15</v>
      </c>
      <c r="O29" s="117" t="s">
        <v>28</v>
      </c>
    </row>
    <row r="30" spans="1:15" ht="15.75" thickBot="1">
      <c r="A30" s="83" t="s">
        <v>239</v>
      </c>
      <c r="B30" s="78" t="s">
        <v>240</v>
      </c>
      <c r="C30" s="86" t="s">
        <v>241</v>
      </c>
      <c r="D30" s="85" t="s">
        <v>198</v>
      </c>
      <c r="E30" s="86" t="s">
        <v>28</v>
      </c>
      <c r="F30" s="85" t="s">
        <v>173</v>
      </c>
      <c r="G30" s="86" t="s">
        <v>187</v>
      </c>
      <c r="H30" s="85" t="s">
        <v>18</v>
      </c>
      <c r="I30" s="86" t="s">
        <v>193</v>
      </c>
      <c r="J30" s="85"/>
      <c r="K30" s="117" t="s">
        <v>165</v>
      </c>
      <c r="L30" s="72">
        <v>60</v>
      </c>
      <c r="M30" s="117" t="s">
        <v>151</v>
      </c>
      <c r="N30" s="72" t="s">
        <v>15</v>
      </c>
      <c r="O30" s="117" t="s">
        <v>28</v>
      </c>
    </row>
    <row r="31" spans="1:15" ht="15.75" thickBot="1">
      <c r="A31" s="83" t="s">
        <v>242</v>
      </c>
      <c r="B31" s="78" t="s">
        <v>240</v>
      </c>
      <c r="C31" s="86" t="s">
        <v>243</v>
      </c>
      <c r="D31" s="85" t="s">
        <v>29</v>
      </c>
      <c r="E31" s="86" t="s">
        <v>28</v>
      </c>
      <c r="F31" s="85" t="s">
        <v>173</v>
      </c>
      <c r="G31" s="86" t="s">
        <v>188</v>
      </c>
      <c r="H31" s="85" t="s">
        <v>18</v>
      </c>
      <c r="I31" s="86" t="s">
        <v>193</v>
      </c>
      <c r="J31" s="85"/>
      <c r="K31" s="117" t="s">
        <v>165</v>
      </c>
      <c r="L31" s="72">
        <v>140</v>
      </c>
      <c r="M31" s="117" t="s">
        <v>151</v>
      </c>
      <c r="N31" s="72" t="s">
        <v>15</v>
      </c>
      <c r="O31" s="117" t="s">
        <v>28</v>
      </c>
    </row>
    <row r="32" spans="1:15" ht="15.75" thickBot="1">
      <c r="A32" s="83" t="s">
        <v>244</v>
      </c>
      <c r="B32" s="78" t="s">
        <v>245</v>
      </c>
      <c r="C32" s="86" t="s">
        <v>246</v>
      </c>
      <c r="D32" s="85" t="s">
        <v>27</v>
      </c>
      <c r="E32" s="86" t="s">
        <v>28</v>
      </c>
      <c r="F32" s="85" t="s">
        <v>185</v>
      </c>
      <c r="G32" s="86" t="s">
        <v>179</v>
      </c>
      <c r="H32" s="85" t="s">
        <v>18</v>
      </c>
      <c r="I32" s="86" t="s">
        <v>481</v>
      </c>
      <c r="J32" s="85" t="s">
        <v>449</v>
      </c>
      <c r="K32" s="117" t="s">
        <v>165</v>
      </c>
      <c r="L32" s="72">
        <v>150</v>
      </c>
      <c r="M32" s="117" t="s">
        <v>151</v>
      </c>
      <c r="N32" s="72" t="s">
        <v>15</v>
      </c>
      <c r="O32" s="117" t="s">
        <v>28</v>
      </c>
    </row>
    <row r="33" spans="1:15" ht="15.75" thickBot="1">
      <c r="A33" s="83" t="s">
        <v>247</v>
      </c>
      <c r="B33" s="78" t="s">
        <v>245</v>
      </c>
      <c r="C33" s="86" t="s">
        <v>248</v>
      </c>
      <c r="D33" s="85" t="s">
        <v>16</v>
      </c>
      <c r="E33" s="86" t="s">
        <v>17</v>
      </c>
      <c r="F33" s="85" t="s">
        <v>185</v>
      </c>
      <c r="G33" s="86" t="s">
        <v>249</v>
      </c>
      <c r="H33" s="85" t="s">
        <v>18</v>
      </c>
      <c r="I33" s="86" t="s">
        <v>481</v>
      </c>
      <c r="J33" s="85" t="s">
        <v>449</v>
      </c>
      <c r="K33" s="117" t="s">
        <v>165</v>
      </c>
      <c r="L33" s="72">
        <v>212.4</v>
      </c>
      <c r="M33" s="117" t="s">
        <v>151</v>
      </c>
      <c r="N33" s="72" t="s">
        <v>15</v>
      </c>
      <c r="O33" s="117" t="s">
        <v>17</v>
      </c>
    </row>
    <row r="34" spans="1:15" ht="15.75" thickBot="1">
      <c r="A34" s="83" t="s">
        <v>455</v>
      </c>
      <c r="B34" s="78" t="s">
        <v>456</v>
      </c>
      <c r="C34" s="86" t="s">
        <v>97</v>
      </c>
      <c r="D34" s="85" t="s">
        <v>19</v>
      </c>
      <c r="E34" s="86" t="s">
        <v>20</v>
      </c>
      <c r="F34" s="85" t="s">
        <v>185</v>
      </c>
      <c r="G34" s="86" t="s">
        <v>457</v>
      </c>
      <c r="H34" s="85" t="s">
        <v>13</v>
      </c>
      <c r="I34" s="86" t="s">
        <v>458</v>
      </c>
      <c r="J34" s="85"/>
      <c r="K34" s="117" t="s">
        <v>165</v>
      </c>
      <c r="L34" s="72">
        <v>4</v>
      </c>
      <c r="M34" s="117" t="s">
        <v>151</v>
      </c>
      <c r="N34" s="72" t="s">
        <v>15</v>
      </c>
      <c r="O34" s="117" t="s">
        <v>19</v>
      </c>
    </row>
    <row r="35" spans="1:15" ht="15.75" thickBot="1">
      <c r="A35" s="83" t="s">
        <v>431</v>
      </c>
      <c r="B35" s="78" t="s">
        <v>432</v>
      </c>
      <c r="C35" s="86" t="s">
        <v>433</v>
      </c>
      <c r="D35" s="85" t="s">
        <v>150</v>
      </c>
      <c r="E35" s="86" t="s">
        <v>150</v>
      </c>
      <c r="F35" s="85" t="s">
        <v>173</v>
      </c>
      <c r="G35" s="86" t="s">
        <v>150</v>
      </c>
      <c r="H35" s="85" t="s">
        <v>13</v>
      </c>
      <c r="I35" s="86" t="s">
        <v>481</v>
      </c>
      <c r="J35" s="85"/>
      <c r="K35" s="117" t="s">
        <v>165</v>
      </c>
      <c r="L35" s="72">
        <v>0</v>
      </c>
      <c r="M35" s="117" t="s">
        <v>152</v>
      </c>
      <c r="N35" s="72" t="s">
        <v>15</v>
      </c>
      <c r="O35" s="117" t="s">
        <v>19</v>
      </c>
    </row>
    <row r="36" spans="1:15" ht="15.75" thickBot="1">
      <c r="A36" s="83" t="s">
        <v>250</v>
      </c>
      <c r="B36" s="78" t="s">
        <v>251</v>
      </c>
      <c r="C36" s="86" t="s">
        <v>192</v>
      </c>
      <c r="D36" s="85" t="s">
        <v>19</v>
      </c>
      <c r="E36" s="86" t="s">
        <v>20</v>
      </c>
      <c r="F36" s="85" t="s">
        <v>173</v>
      </c>
      <c r="G36" s="86" t="s">
        <v>179</v>
      </c>
      <c r="H36" s="85" t="s">
        <v>13</v>
      </c>
      <c r="I36" s="86" t="s">
        <v>481</v>
      </c>
      <c r="J36" s="85" t="s">
        <v>450</v>
      </c>
      <c r="K36" s="117" t="s">
        <v>165</v>
      </c>
      <c r="L36" s="72">
        <v>150</v>
      </c>
      <c r="M36" s="117" t="s">
        <v>151</v>
      </c>
      <c r="N36" s="72" t="s">
        <v>15</v>
      </c>
      <c r="O36" s="117" t="s">
        <v>19</v>
      </c>
    </row>
    <row r="37" spans="1:15" ht="15.75" thickBot="1">
      <c r="A37" s="83" t="s">
        <v>252</v>
      </c>
      <c r="B37" s="78" t="s">
        <v>251</v>
      </c>
      <c r="C37" s="86" t="s">
        <v>253</v>
      </c>
      <c r="D37" s="85" t="s">
        <v>19</v>
      </c>
      <c r="E37" s="86" t="s">
        <v>20</v>
      </c>
      <c r="F37" s="85" t="s">
        <v>173</v>
      </c>
      <c r="G37" s="86" t="s">
        <v>179</v>
      </c>
      <c r="H37" s="85" t="s">
        <v>13</v>
      </c>
      <c r="I37" s="86" t="s">
        <v>481</v>
      </c>
      <c r="J37" s="85" t="s">
        <v>450</v>
      </c>
      <c r="K37" s="117" t="s">
        <v>165</v>
      </c>
      <c r="L37" s="72">
        <v>150</v>
      </c>
      <c r="M37" s="117" t="s">
        <v>151</v>
      </c>
      <c r="N37" s="72" t="s">
        <v>15</v>
      </c>
      <c r="O37" s="117" t="s">
        <v>19</v>
      </c>
    </row>
    <row r="38" spans="1:15" ht="15.75" thickBot="1">
      <c r="A38" s="83" t="s">
        <v>547</v>
      </c>
      <c r="B38" s="78" t="s">
        <v>189</v>
      </c>
      <c r="C38" s="86" t="s">
        <v>104</v>
      </c>
      <c r="D38" s="85" t="s">
        <v>29</v>
      </c>
      <c r="E38" s="86" t="s">
        <v>28</v>
      </c>
      <c r="F38" s="85" t="s">
        <v>173</v>
      </c>
      <c r="G38" s="86" t="s">
        <v>254</v>
      </c>
      <c r="H38" s="85" t="s">
        <v>18</v>
      </c>
      <c r="I38" s="86" t="s">
        <v>481</v>
      </c>
      <c r="J38" s="85"/>
      <c r="K38" s="117" t="s">
        <v>165</v>
      </c>
      <c r="L38" s="72">
        <v>330</v>
      </c>
      <c r="M38" s="117" t="s">
        <v>151</v>
      </c>
      <c r="N38" s="72" t="s">
        <v>15</v>
      </c>
      <c r="O38" s="117" t="s">
        <v>28</v>
      </c>
    </row>
    <row r="39" spans="1:15" ht="15.75" thickBot="1">
      <c r="A39" s="83" t="s">
        <v>548</v>
      </c>
      <c r="B39" s="78" t="s">
        <v>189</v>
      </c>
      <c r="C39" s="86" t="s">
        <v>150</v>
      </c>
      <c r="D39" s="85" t="s">
        <v>440</v>
      </c>
      <c r="E39" s="86" t="s">
        <v>570</v>
      </c>
      <c r="F39" s="85" t="s">
        <v>173</v>
      </c>
      <c r="G39" s="86" t="s">
        <v>545</v>
      </c>
      <c r="H39" s="85" t="s">
        <v>13</v>
      </c>
      <c r="I39" s="86"/>
      <c r="J39" s="85" t="s">
        <v>549</v>
      </c>
      <c r="K39" s="117" t="s">
        <v>165</v>
      </c>
      <c r="L39" s="72">
        <v>100</v>
      </c>
      <c r="M39" s="117" t="s">
        <v>151</v>
      </c>
      <c r="N39" s="72" t="s">
        <v>15</v>
      </c>
      <c r="O39" s="117" t="s">
        <v>440</v>
      </c>
    </row>
    <row r="40" spans="1:15" ht="15.75" thickBot="1">
      <c r="A40" s="83" t="s">
        <v>255</v>
      </c>
      <c r="B40" s="78" t="s">
        <v>256</v>
      </c>
      <c r="C40" s="86" t="s">
        <v>257</v>
      </c>
      <c r="D40" s="85" t="s">
        <v>440</v>
      </c>
      <c r="E40" s="86" t="s">
        <v>570</v>
      </c>
      <c r="F40" s="85" t="s">
        <v>173</v>
      </c>
      <c r="G40" s="86" t="s">
        <v>258</v>
      </c>
      <c r="H40" s="85" t="s">
        <v>13</v>
      </c>
      <c r="I40" s="86" t="s">
        <v>481</v>
      </c>
      <c r="J40" s="85"/>
      <c r="K40" s="117" t="s">
        <v>165</v>
      </c>
      <c r="L40" s="72">
        <v>0.5</v>
      </c>
      <c r="M40" s="117" t="s">
        <v>151</v>
      </c>
      <c r="N40" s="72" t="s">
        <v>15</v>
      </c>
      <c r="O40" s="117" t="s">
        <v>440</v>
      </c>
    </row>
    <row r="41" spans="1:15" ht="15.75" thickBot="1">
      <c r="A41" s="83" t="s">
        <v>528</v>
      </c>
      <c r="B41" s="78" t="s">
        <v>256</v>
      </c>
      <c r="C41" s="86" t="s">
        <v>529</v>
      </c>
      <c r="D41" s="85" t="s">
        <v>440</v>
      </c>
      <c r="E41" s="86" t="s">
        <v>570</v>
      </c>
      <c r="F41" s="85" t="s">
        <v>173</v>
      </c>
      <c r="G41" s="86" t="s">
        <v>530</v>
      </c>
      <c r="H41" s="85" t="s">
        <v>13</v>
      </c>
      <c r="I41" s="86" t="s">
        <v>481</v>
      </c>
      <c r="J41" s="85"/>
      <c r="K41" s="117" t="s">
        <v>165</v>
      </c>
      <c r="L41" s="72">
        <v>4.5</v>
      </c>
      <c r="M41" s="117" t="s">
        <v>151</v>
      </c>
      <c r="N41" s="72" t="s">
        <v>15</v>
      </c>
      <c r="O41" s="117" t="s">
        <v>440</v>
      </c>
    </row>
    <row r="42" spans="1:15" ht="15.75" thickBot="1">
      <c r="A42" s="83" t="s">
        <v>259</v>
      </c>
      <c r="B42" s="78" t="s">
        <v>256</v>
      </c>
      <c r="C42" s="86" t="s">
        <v>260</v>
      </c>
      <c r="D42" s="85" t="s">
        <v>440</v>
      </c>
      <c r="E42" s="86" t="s">
        <v>570</v>
      </c>
      <c r="F42" s="85" t="s">
        <v>173</v>
      </c>
      <c r="G42" s="86" t="s">
        <v>261</v>
      </c>
      <c r="H42" s="85" t="s">
        <v>13</v>
      </c>
      <c r="I42" s="86" t="s">
        <v>481</v>
      </c>
      <c r="J42" s="85"/>
      <c r="K42" s="117" t="s">
        <v>165</v>
      </c>
      <c r="L42" s="72">
        <v>245</v>
      </c>
      <c r="M42" s="117" t="s">
        <v>151</v>
      </c>
      <c r="N42" s="72" t="s">
        <v>15</v>
      </c>
      <c r="O42" s="117" t="s">
        <v>440</v>
      </c>
    </row>
    <row r="43" spans="1:15" ht="15.75" thickBot="1">
      <c r="A43" s="83" t="s">
        <v>494</v>
      </c>
      <c r="B43" s="78" t="s">
        <v>135</v>
      </c>
      <c r="C43" s="86" t="s">
        <v>150</v>
      </c>
      <c r="D43" s="85" t="s">
        <v>27</v>
      </c>
      <c r="E43" s="86" t="s">
        <v>28</v>
      </c>
      <c r="F43" s="85" t="s">
        <v>173</v>
      </c>
      <c r="G43" s="86" t="s">
        <v>495</v>
      </c>
      <c r="H43" s="85" t="s">
        <v>18</v>
      </c>
      <c r="I43" s="86" t="s">
        <v>481</v>
      </c>
      <c r="J43" s="85" t="s">
        <v>496</v>
      </c>
      <c r="K43" s="117" t="s">
        <v>165</v>
      </c>
      <c r="L43" s="72">
        <v>152</v>
      </c>
      <c r="M43" s="117" t="s">
        <v>151</v>
      </c>
      <c r="N43" s="72" t="s">
        <v>15</v>
      </c>
      <c r="O43" s="117" t="s">
        <v>28</v>
      </c>
    </row>
    <row r="44" spans="1:15" ht="15.75" thickBot="1">
      <c r="A44" s="83" t="s">
        <v>531</v>
      </c>
      <c r="B44" s="78" t="s">
        <v>532</v>
      </c>
      <c r="C44" s="86" t="s">
        <v>150</v>
      </c>
      <c r="D44" s="85" t="s">
        <v>523</v>
      </c>
      <c r="E44" s="86" t="s">
        <v>175</v>
      </c>
      <c r="F44" s="85" t="s">
        <v>173</v>
      </c>
      <c r="G44" s="86" t="s">
        <v>533</v>
      </c>
      <c r="H44" s="85" t="s">
        <v>150</v>
      </c>
      <c r="I44" s="86" t="s">
        <v>481</v>
      </c>
      <c r="J44" s="85" t="s">
        <v>534</v>
      </c>
      <c r="K44" s="117" t="s">
        <v>165</v>
      </c>
      <c r="L44" s="72">
        <v>6</v>
      </c>
      <c r="M44" s="117" t="s">
        <v>151</v>
      </c>
      <c r="N44" s="72" t="s">
        <v>15</v>
      </c>
      <c r="O44" s="117" t="s">
        <v>440</v>
      </c>
    </row>
    <row r="45" spans="1:15" ht="15.75" thickBot="1">
      <c r="A45" s="83" t="s">
        <v>262</v>
      </c>
      <c r="B45" s="78" t="s">
        <v>190</v>
      </c>
      <c r="C45" s="86" t="s">
        <v>263</v>
      </c>
      <c r="D45" s="85" t="s">
        <v>27</v>
      </c>
      <c r="E45" s="86" t="s">
        <v>28</v>
      </c>
      <c r="F45" s="85" t="s">
        <v>173</v>
      </c>
      <c r="G45" s="86" t="s">
        <v>264</v>
      </c>
      <c r="H45" s="85" t="s">
        <v>18</v>
      </c>
      <c r="I45" s="86" t="s">
        <v>481</v>
      </c>
      <c r="J45" s="85"/>
      <c r="K45" s="117" t="s">
        <v>165</v>
      </c>
      <c r="L45" s="72">
        <v>44</v>
      </c>
      <c r="M45" s="117" t="s">
        <v>151</v>
      </c>
      <c r="N45" s="72" t="s">
        <v>15</v>
      </c>
      <c r="O45" s="117" t="s">
        <v>28</v>
      </c>
    </row>
    <row r="46" spans="1:15" ht="15.75" thickBot="1">
      <c r="A46" s="83" t="s">
        <v>265</v>
      </c>
      <c r="B46" s="78" t="s">
        <v>190</v>
      </c>
      <c r="C46" s="86" t="s">
        <v>230</v>
      </c>
      <c r="D46" s="85" t="s">
        <v>440</v>
      </c>
      <c r="E46" s="86" t="s">
        <v>570</v>
      </c>
      <c r="F46" s="85" t="s">
        <v>173</v>
      </c>
      <c r="G46" s="86" t="s">
        <v>266</v>
      </c>
      <c r="H46" s="85" t="s">
        <v>13</v>
      </c>
      <c r="I46" s="86" t="s">
        <v>481</v>
      </c>
      <c r="J46" s="85"/>
      <c r="K46" s="117" t="s">
        <v>165</v>
      </c>
      <c r="L46" s="72">
        <v>21</v>
      </c>
      <c r="M46" s="117" t="s">
        <v>151</v>
      </c>
      <c r="N46" s="72" t="s">
        <v>15</v>
      </c>
      <c r="O46" s="117" t="s">
        <v>440</v>
      </c>
    </row>
    <row r="47" spans="1:15" ht="15.75" thickBot="1">
      <c r="A47" s="83" t="s">
        <v>434</v>
      </c>
      <c r="B47" s="78" t="s">
        <v>44</v>
      </c>
      <c r="C47" s="86" t="s">
        <v>435</v>
      </c>
      <c r="D47" s="85" t="s">
        <v>150</v>
      </c>
      <c r="E47" s="86" t="s">
        <v>22</v>
      </c>
      <c r="F47" s="85" t="s">
        <v>173</v>
      </c>
      <c r="G47" s="86" t="s">
        <v>497</v>
      </c>
      <c r="H47" s="85" t="s">
        <v>13</v>
      </c>
      <c r="I47" s="86" t="s">
        <v>481</v>
      </c>
      <c r="J47" s="85"/>
      <c r="K47" s="117" t="s">
        <v>165</v>
      </c>
      <c r="L47" s="72">
        <v>225</v>
      </c>
      <c r="M47" s="117" t="s">
        <v>151</v>
      </c>
      <c r="N47" s="72" t="s">
        <v>15</v>
      </c>
      <c r="O47" s="117" t="s">
        <v>22</v>
      </c>
    </row>
    <row r="48" spans="1:15" ht="15.75" thickBot="1">
      <c r="A48" s="83" t="s">
        <v>436</v>
      </c>
      <c r="B48" s="78" t="s">
        <v>437</v>
      </c>
      <c r="C48" s="86" t="s">
        <v>438</v>
      </c>
      <c r="D48" s="85" t="s">
        <v>150</v>
      </c>
      <c r="E48" s="86" t="s">
        <v>150</v>
      </c>
      <c r="F48" s="85" t="s">
        <v>177</v>
      </c>
      <c r="G48" s="86" t="s">
        <v>150</v>
      </c>
      <c r="H48" s="85" t="s">
        <v>153</v>
      </c>
      <c r="I48" s="86" t="s">
        <v>481</v>
      </c>
      <c r="J48" s="85"/>
      <c r="K48" s="117" t="s">
        <v>165</v>
      </c>
      <c r="L48" s="72">
        <v>0</v>
      </c>
      <c r="M48" s="117" t="s">
        <v>152</v>
      </c>
      <c r="N48" s="72" t="s">
        <v>15</v>
      </c>
      <c r="O48" s="117" t="s">
        <v>28</v>
      </c>
    </row>
    <row r="49" spans="1:15" ht="15.75" thickBot="1">
      <c r="A49" s="83" t="s">
        <v>267</v>
      </c>
      <c r="B49" s="78" t="s">
        <v>44</v>
      </c>
      <c r="C49" s="86" t="s">
        <v>268</v>
      </c>
      <c r="D49" s="85" t="s">
        <v>16</v>
      </c>
      <c r="E49" s="86" t="s">
        <v>17</v>
      </c>
      <c r="F49" s="85" t="s">
        <v>173</v>
      </c>
      <c r="G49" s="86" t="s">
        <v>269</v>
      </c>
      <c r="H49" s="85" t="s">
        <v>18</v>
      </c>
      <c r="I49" s="86" t="s">
        <v>481</v>
      </c>
      <c r="J49" s="85"/>
      <c r="K49" s="73" t="s">
        <v>165</v>
      </c>
      <c r="L49" s="72">
        <v>119</v>
      </c>
      <c r="M49" s="73" t="s">
        <v>151</v>
      </c>
      <c r="N49" s="72" t="s">
        <v>15</v>
      </c>
      <c r="O49" s="73" t="s">
        <v>17</v>
      </c>
    </row>
    <row r="50" spans="1:15" ht="15.75" thickBot="1">
      <c r="A50" s="83" t="s">
        <v>270</v>
      </c>
      <c r="B50" s="78" t="s">
        <v>178</v>
      </c>
      <c r="C50" s="86" t="s">
        <v>271</v>
      </c>
      <c r="D50" s="85" t="s">
        <v>27</v>
      </c>
      <c r="E50" s="86" t="s">
        <v>28</v>
      </c>
      <c r="F50" s="85" t="s">
        <v>173</v>
      </c>
      <c r="G50" s="86" t="s">
        <v>184</v>
      </c>
      <c r="H50" s="85" t="s">
        <v>18</v>
      </c>
      <c r="I50" s="86" t="s">
        <v>481</v>
      </c>
      <c r="J50" s="85"/>
      <c r="K50" s="73" t="s">
        <v>165</v>
      </c>
      <c r="L50" s="72">
        <v>85</v>
      </c>
      <c r="M50" s="73" t="s">
        <v>151</v>
      </c>
      <c r="N50" s="72" t="s">
        <v>15</v>
      </c>
      <c r="O50" s="73" t="s">
        <v>28</v>
      </c>
    </row>
    <row r="51" spans="1:15" ht="15.75" thickBot="1">
      <c r="A51" s="83" t="s">
        <v>498</v>
      </c>
      <c r="B51" s="78" t="s">
        <v>499</v>
      </c>
      <c r="C51" s="86" t="s">
        <v>150</v>
      </c>
      <c r="D51" s="85" t="s">
        <v>27</v>
      </c>
      <c r="E51" s="86" t="s">
        <v>28</v>
      </c>
      <c r="F51" s="85" t="s">
        <v>173</v>
      </c>
      <c r="G51" s="86" t="s">
        <v>500</v>
      </c>
      <c r="H51" s="85" t="s">
        <v>18</v>
      </c>
      <c r="I51" s="86" t="s">
        <v>481</v>
      </c>
      <c r="J51" s="85" t="s">
        <v>501</v>
      </c>
      <c r="K51" s="73" t="s">
        <v>165</v>
      </c>
      <c r="L51" s="72">
        <v>200</v>
      </c>
      <c r="M51" s="73" t="s">
        <v>151</v>
      </c>
      <c r="N51" s="72" t="s">
        <v>15</v>
      </c>
      <c r="O51" s="73" t="s">
        <v>28</v>
      </c>
    </row>
    <row r="52" spans="1:15" ht="15.75" thickBot="1">
      <c r="A52" s="83" t="s">
        <v>502</v>
      </c>
      <c r="B52" s="78" t="s">
        <v>499</v>
      </c>
      <c r="C52" s="86" t="s">
        <v>150</v>
      </c>
      <c r="D52" s="85" t="s">
        <v>27</v>
      </c>
      <c r="E52" s="86" t="s">
        <v>28</v>
      </c>
      <c r="F52" s="85" t="s">
        <v>173</v>
      </c>
      <c r="G52" s="86" t="s">
        <v>500</v>
      </c>
      <c r="H52" s="85" t="s">
        <v>18</v>
      </c>
      <c r="I52" s="86" t="s">
        <v>481</v>
      </c>
      <c r="J52" s="85" t="s">
        <v>501</v>
      </c>
      <c r="K52" s="73" t="s">
        <v>165</v>
      </c>
      <c r="L52" s="72">
        <v>200</v>
      </c>
      <c r="M52" s="73" t="s">
        <v>151</v>
      </c>
      <c r="N52" s="72" t="s">
        <v>15</v>
      </c>
      <c r="O52" s="73" t="s">
        <v>28</v>
      </c>
    </row>
    <row r="53" spans="1:15" ht="15.75" thickBot="1">
      <c r="A53" s="83" t="s">
        <v>503</v>
      </c>
      <c r="B53" s="78" t="s">
        <v>490</v>
      </c>
      <c r="C53" s="86" t="s">
        <v>150</v>
      </c>
      <c r="D53" s="85" t="s">
        <v>16</v>
      </c>
      <c r="E53" s="86" t="s">
        <v>17</v>
      </c>
      <c r="F53" s="85" t="s">
        <v>173</v>
      </c>
      <c r="G53" s="86" t="s">
        <v>504</v>
      </c>
      <c r="H53" s="85" t="s">
        <v>18</v>
      </c>
      <c r="I53" s="86" t="s">
        <v>481</v>
      </c>
      <c r="J53" s="85" t="s">
        <v>505</v>
      </c>
      <c r="K53" s="73" t="s">
        <v>165</v>
      </c>
      <c r="L53" s="72">
        <v>183.6</v>
      </c>
      <c r="M53" s="73" t="s">
        <v>151</v>
      </c>
      <c r="N53" s="72" t="s">
        <v>15</v>
      </c>
      <c r="O53" s="73" t="s">
        <v>17</v>
      </c>
    </row>
    <row r="54" spans="1:15" ht="15.75" thickBot="1">
      <c r="A54" s="83" t="s">
        <v>451</v>
      </c>
      <c r="B54" s="78" t="s">
        <v>452</v>
      </c>
      <c r="C54" s="86" t="s">
        <v>28</v>
      </c>
      <c r="D54" s="85" t="s">
        <v>27</v>
      </c>
      <c r="E54" s="86" t="s">
        <v>28</v>
      </c>
      <c r="F54" s="85" t="s">
        <v>173</v>
      </c>
      <c r="G54" s="86" t="s">
        <v>453</v>
      </c>
      <c r="H54" s="85" t="s">
        <v>153</v>
      </c>
      <c r="I54" s="86" t="s">
        <v>481</v>
      </c>
      <c r="J54" s="85"/>
      <c r="K54" s="73" t="s">
        <v>165</v>
      </c>
      <c r="L54" s="72">
        <v>1.8</v>
      </c>
      <c r="M54" s="73" t="s">
        <v>151</v>
      </c>
      <c r="N54" s="72" t="s">
        <v>15</v>
      </c>
      <c r="O54" s="73" t="s">
        <v>28</v>
      </c>
    </row>
    <row r="55" spans="1:15" ht="15.75" thickBot="1">
      <c r="A55" s="83" t="s">
        <v>272</v>
      </c>
      <c r="B55" s="78" t="s">
        <v>273</v>
      </c>
      <c r="C55" s="86" t="s">
        <v>104</v>
      </c>
      <c r="D55" s="85" t="s">
        <v>27</v>
      </c>
      <c r="E55" s="86" t="s">
        <v>28</v>
      </c>
      <c r="F55" s="85" t="s">
        <v>173</v>
      </c>
      <c r="G55" s="86" t="s">
        <v>188</v>
      </c>
      <c r="H55" s="85" t="s">
        <v>18</v>
      </c>
      <c r="I55" s="86" t="s">
        <v>481</v>
      </c>
      <c r="J55" s="85"/>
      <c r="K55" s="73" t="s">
        <v>165</v>
      </c>
      <c r="L55" s="72">
        <v>140</v>
      </c>
      <c r="M55" s="73" t="s">
        <v>151</v>
      </c>
      <c r="N55" s="72" t="s">
        <v>15</v>
      </c>
      <c r="O55" s="73" t="s">
        <v>28</v>
      </c>
    </row>
    <row r="56" spans="1:15" ht="15.75" thickBot="1">
      <c r="A56" s="83" t="s">
        <v>574</v>
      </c>
      <c r="B56" s="78" t="s">
        <v>274</v>
      </c>
      <c r="C56" s="86" t="s">
        <v>107</v>
      </c>
      <c r="D56" s="85" t="s">
        <v>16</v>
      </c>
      <c r="E56" s="86" t="s">
        <v>17</v>
      </c>
      <c r="F56" s="85" t="s">
        <v>164</v>
      </c>
      <c r="G56" s="86" t="s">
        <v>581</v>
      </c>
      <c r="H56" s="85" t="s">
        <v>18</v>
      </c>
      <c r="I56" s="86" t="s">
        <v>576</v>
      </c>
      <c r="J56" s="85"/>
      <c r="K56" s="73" t="s">
        <v>164</v>
      </c>
      <c r="L56" s="72">
        <v>119.4</v>
      </c>
      <c r="M56" s="73" t="s">
        <v>151</v>
      </c>
      <c r="N56" s="72" t="s">
        <v>15</v>
      </c>
      <c r="O56" s="73" t="s">
        <v>17</v>
      </c>
    </row>
    <row r="57" spans="1:15" ht="15.75" thickBot="1">
      <c r="A57" s="83" t="s">
        <v>275</v>
      </c>
      <c r="B57" s="78" t="s">
        <v>176</v>
      </c>
      <c r="C57" s="86" t="s">
        <v>276</v>
      </c>
      <c r="D57" s="85" t="s">
        <v>16</v>
      </c>
      <c r="E57" s="86" t="s">
        <v>17</v>
      </c>
      <c r="F57" s="85" t="s">
        <v>173</v>
      </c>
      <c r="G57" s="86" t="s">
        <v>277</v>
      </c>
      <c r="H57" s="85" t="s">
        <v>18</v>
      </c>
      <c r="I57" s="86" t="s">
        <v>481</v>
      </c>
      <c r="J57" s="85" t="s">
        <v>454</v>
      </c>
      <c r="K57" s="73" t="s">
        <v>165</v>
      </c>
      <c r="L57" s="72">
        <v>400</v>
      </c>
      <c r="M57" s="73" t="s">
        <v>151</v>
      </c>
      <c r="N57" s="72" t="s">
        <v>15</v>
      </c>
      <c r="O57" s="73" t="s">
        <v>17</v>
      </c>
    </row>
    <row r="58" spans="1:15" ht="15.75" thickBot="1">
      <c r="A58" s="83" t="s">
        <v>278</v>
      </c>
      <c r="B58" s="78" t="s">
        <v>279</v>
      </c>
      <c r="C58" s="86" t="s">
        <v>97</v>
      </c>
      <c r="D58" s="85" t="s">
        <v>25</v>
      </c>
      <c r="E58" s="86" t="s">
        <v>191</v>
      </c>
      <c r="F58" s="85" t="s">
        <v>173</v>
      </c>
      <c r="G58" s="86" t="s">
        <v>181</v>
      </c>
      <c r="H58" s="85" t="s">
        <v>13</v>
      </c>
      <c r="I58" s="86" t="s">
        <v>481</v>
      </c>
      <c r="J58" s="85"/>
      <c r="K58" s="73" t="s">
        <v>165</v>
      </c>
      <c r="L58" s="72">
        <v>15</v>
      </c>
      <c r="M58" s="73" t="s">
        <v>151</v>
      </c>
      <c r="N58" s="72" t="s">
        <v>15</v>
      </c>
      <c r="O58" s="73" t="s">
        <v>160</v>
      </c>
    </row>
    <row r="59" spans="1:15" ht="15.75" thickBot="1">
      <c r="A59" s="83" t="s">
        <v>280</v>
      </c>
      <c r="B59" s="78" t="s">
        <v>281</v>
      </c>
      <c r="C59" s="86" t="s">
        <v>282</v>
      </c>
      <c r="D59" s="85" t="s">
        <v>16</v>
      </c>
      <c r="E59" s="86" t="s">
        <v>17</v>
      </c>
      <c r="F59" s="85" t="s">
        <v>173</v>
      </c>
      <c r="G59" s="86" t="s">
        <v>283</v>
      </c>
      <c r="H59" s="85" t="s">
        <v>18</v>
      </c>
      <c r="I59" s="86" t="s">
        <v>611</v>
      </c>
      <c r="J59" s="85"/>
      <c r="K59" s="73" t="s">
        <v>165</v>
      </c>
      <c r="L59" s="72">
        <v>635.79999999999995</v>
      </c>
      <c r="M59" s="73" t="s">
        <v>151</v>
      </c>
      <c r="N59" s="72" t="s">
        <v>15</v>
      </c>
      <c r="O59" s="73" t="s">
        <v>17</v>
      </c>
    </row>
    <row r="60" spans="1:15" s="60" customFormat="1">
      <c r="A60" s="87"/>
      <c r="B60" s="87"/>
      <c r="C60" s="87"/>
      <c r="D60" s="87"/>
      <c r="E60" s="87"/>
      <c r="F60" s="87"/>
      <c r="G60" s="87"/>
      <c r="H60" s="87"/>
      <c r="I60" s="87"/>
      <c r="J60" s="87"/>
      <c r="K60" s="87"/>
      <c r="L60" s="87"/>
      <c r="M60" s="87"/>
      <c r="N60" s="87"/>
      <c r="O60" s="87"/>
    </row>
    <row r="61" spans="1:15">
      <c r="A61" s="176" t="s">
        <v>567</v>
      </c>
      <c r="B61" s="177"/>
      <c r="C61" s="177"/>
      <c r="D61" s="177"/>
      <c r="E61" s="177"/>
      <c r="F61" s="177"/>
      <c r="G61" s="177"/>
      <c r="H61" s="177"/>
      <c r="I61" s="177"/>
      <c r="J61" s="177"/>
      <c r="K61" s="60"/>
      <c r="L61" s="60"/>
      <c r="M61" s="60"/>
      <c r="N61" s="60"/>
      <c r="O61" s="60"/>
    </row>
  </sheetData>
  <mergeCells count="1">
    <mergeCell ref="A61:J6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9A48-A1D6-4E31-BDF1-A2D2280E4222}">
  <dimension ref="B1:M47"/>
  <sheetViews>
    <sheetView workbookViewId="0"/>
  </sheetViews>
  <sheetFormatPr defaultColWidth="9.140625" defaultRowHeight="15"/>
  <cols>
    <col min="1" max="1" width="2.140625" style="99" customWidth="1"/>
    <col min="2" max="2" width="23.140625" style="99" customWidth="1"/>
    <col min="3" max="3" width="11.140625" style="99" bestFit="1" customWidth="1"/>
    <col min="4" max="11" width="10.140625" style="99" customWidth="1"/>
    <col min="12" max="12" width="9.140625" style="99"/>
    <col min="13" max="13" width="11.42578125" style="99" customWidth="1"/>
    <col min="14" max="16384" width="9.140625" style="99"/>
  </cols>
  <sheetData>
    <row r="1" spans="2:11" ht="19.5">
      <c r="B1" s="98" t="s">
        <v>461</v>
      </c>
    </row>
    <row r="2" spans="2:11" ht="36.75" customHeight="1">
      <c r="B2" s="178" t="s">
        <v>506</v>
      </c>
      <c r="C2" s="178"/>
      <c r="D2" s="178"/>
      <c r="E2" s="178"/>
      <c r="F2" s="178"/>
      <c r="G2" s="178"/>
      <c r="H2" s="178"/>
      <c r="I2" s="178"/>
      <c r="J2" s="178"/>
      <c r="K2" s="178"/>
    </row>
    <row r="3" spans="2:11" ht="35.25" customHeight="1">
      <c r="B3" s="178" t="s">
        <v>507</v>
      </c>
      <c r="C3" s="178"/>
      <c r="D3" s="178"/>
      <c r="E3" s="178"/>
      <c r="F3" s="178"/>
      <c r="G3" s="178"/>
      <c r="H3" s="178"/>
      <c r="I3" s="178"/>
      <c r="J3" s="178"/>
      <c r="K3" s="178"/>
    </row>
    <row r="4" spans="2:11" ht="14.25" customHeight="1">
      <c r="B4" s="179" t="s">
        <v>508</v>
      </c>
      <c r="C4" s="179"/>
      <c r="D4" s="179"/>
      <c r="E4" s="179"/>
      <c r="F4" s="179"/>
      <c r="G4" s="179"/>
      <c r="H4" s="179"/>
      <c r="I4" s="179"/>
      <c r="J4" s="179"/>
      <c r="K4" s="179"/>
    </row>
    <row r="5" spans="2:11" ht="39" customHeight="1">
      <c r="B5" s="180" t="s">
        <v>509</v>
      </c>
      <c r="C5" s="180"/>
      <c r="D5" s="180"/>
      <c r="E5" s="180"/>
      <c r="F5" s="180"/>
      <c r="G5" s="180"/>
      <c r="H5" s="180"/>
      <c r="I5" s="180"/>
      <c r="J5" s="180"/>
      <c r="K5" s="180"/>
    </row>
    <row r="6" spans="2:11" ht="13.5" customHeight="1">
      <c r="B6" s="100"/>
      <c r="C6" s="100"/>
      <c r="D6" s="100"/>
      <c r="E6" s="100"/>
      <c r="F6" s="100"/>
      <c r="G6" s="100"/>
      <c r="H6" s="100"/>
      <c r="I6" s="100"/>
      <c r="J6" s="100"/>
      <c r="K6" s="100"/>
    </row>
    <row r="7" spans="2:11" ht="49.5" customHeight="1">
      <c r="B7" s="179" t="s">
        <v>518</v>
      </c>
      <c r="C7" s="179"/>
      <c r="D7" s="179"/>
      <c r="E7" s="179"/>
      <c r="F7" s="179"/>
      <c r="G7" s="179"/>
      <c r="H7" s="179"/>
      <c r="I7" s="179"/>
      <c r="J7" s="179"/>
      <c r="K7" s="179"/>
    </row>
    <row r="8" spans="2:11" ht="13.5" customHeight="1">
      <c r="B8" s="100"/>
      <c r="C8" s="100"/>
      <c r="D8" s="100"/>
      <c r="E8" s="100"/>
      <c r="F8" s="100"/>
      <c r="G8" s="100"/>
      <c r="H8" s="100"/>
      <c r="I8" s="100"/>
      <c r="J8" s="100"/>
      <c r="K8" s="100"/>
    </row>
    <row r="9" spans="2:11">
      <c r="B9" s="102" t="s">
        <v>353</v>
      </c>
    </row>
    <row r="10" spans="2:11" ht="28.5" customHeight="1">
      <c r="B10" s="178" t="s">
        <v>354</v>
      </c>
      <c r="C10" s="178"/>
      <c r="D10" s="178"/>
      <c r="E10" s="178"/>
      <c r="F10" s="178"/>
      <c r="G10" s="178"/>
      <c r="H10" s="178"/>
      <c r="I10" s="178"/>
      <c r="J10" s="178"/>
      <c r="K10" s="178"/>
    </row>
    <row r="11" spans="2:11" ht="39" customHeight="1">
      <c r="B11" s="178" t="s">
        <v>355</v>
      </c>
      <c r="C11" s="178"/>
      <c r="D11" s="178"/>
      <c r="E11" s="178"/>
      <c r="F11" s="178"/>
      <c r="G11" s="178"/>
      <c r="H11" s="178"/>
      <c r="I11" s="178"/>
      <c r="J11" s="178"/>
      <c r="K11" s="178"/>
    </row>
    <row r="12" spans="2:11" ht="15.75" customHeight="1">
      <c r="B12" s="101" t="s">
        <v>356</v>
      </c>
    </row>
    <row r="13" spans="2:11" ht="27" customHeight="1">
      <c r="B13" s="183" t="s">
        <v>357</v>
      </c>
      <c r="C13" s="184"/>
      <c r="D13" s="184"/>
      <c r="E13" s="184"/>
      <c r="F13" s="184"/>
      <c r="G13" s="184"/>
      <c r="H13" s="184"/>
      <c r="I13" s="184"/>
      <c r="J13" s="184"/>
      <c r="K13" s="184"/>
    </row>
    <row r="14" spans="2:11" ht="49.5" customHeight="1">
      <c r="B14" s="184" t="s">
        <v>358</v>
      </c>
      <c r="C14" s="184"/>
      <c r="D14" s="184"/>
      <c r="E14" s="184"/>
      <c r="F14" s="184"/>
      <c r="G14" s="184"/>
      <c r="H14" s="184"/>
      <c r="I14" s="184"/>
      <c r="J14" s="184"/>
      <c r="K14" s="184"/>
    </row>
    <row r="15" spans="2:11">
      <c r="B15" s="103"/>
    </row>
    <row r="16" spans="2:11">
      <c r="B16" s="104" t="s">
        <v>359</v>
      </c>
    </row>
    <row r="17" spans="2:12" ht="15.75" thickBot="1">
      <c r="B17" s="105" t="s">
        <v>360</v>
      </c>
      <c r="C17" s="113" t="s">
        <v>361</v>
      </c>
      <c r="D17" s="113" t="s">
        <v>362</v>
      </c>
    </row>
    <row r="18" spans="2:12" ht="16.5" thickTop="1" thickBot="1">
      <c r="B18" s="106" t="s">
        <v>363</v>
      </c>
      <c r="C18" s="107">
        <v>37</v>
      </c>
      <c r="D18" s="107">
        <v>15</v>
      </c>
    </row>
    <row r="19" spans="2:12" ht="15.75" thickBot="1">
      <c r="B19" s="106" t="s">
        <v>364</v>
      </c>
      <c r="C19" s="107">
        <v>42</v>
      </c>
      <c r="D19" s="107">
        <v>9</v>
      </c>
    </row>
    <row r="20" spans="2:12" ht="15.75" thickBot="1">
      <c r="B20" s="106" t="s">
        <v>365</v>
      </c>
      <c r="C20" s="107">
        <v>41</v>
      </c>
      <c r="D20" s="107">
        <v>8</v>
      </c>
    </row>
    <row r="21" spans="2:12" ht="15.75" thickBot="1">
      <c r="B21" s="106" t="s">
        <v>366</v>
      </c>
      <c r="C21" s="107">
        <v>43</v>
      </c>
      <c r="D21" s="107">
        <v>11</v>
      </c>
    </row>
    <row r="22" spans="2:12" ht="15.75" thickBot="1">
      <c r="B22" s="106" t="s">
        <v>367</v>
      </c>
      <c r="C22" s="107">
        <v>7.7</v>
      </c>
      <c r="D22" s="107">
        <v>1.2</v>
      </c>
    </row>
    <row r="23" spans="2:12">
      <c r="B23" s="108"/>
    </row>
    <row r="24" spans="2:12">
      <c r="B24" s="102" t="s">
        <v>368</v>
      </c>
    </row>
    <row r="25" spans="2:12" ht="25.5" customHeight="1">
      <c r="B25" s="178" t="s">
        <v>369</v>
      </c>
      <c r="C25" s="178"/>
      <c r="D25" s="178"/>
      <c r="E25" s="178"/>
      <c r="F25" s="178"/>
      <c r="G25" s="178"/>
      <c r="H25" s="178"/>
      <c r="I25" s="178"/>
      <c r="J25" s="178"/>
      <c r="K25" s="178"/>
    </row>
    <row r="26" spans="2:12">
      <c r="B26" s="101"/>
    </row>
    <row r="27" spans="2:12" ht="19.5">
      <c r="B27" s="109" t="s">
        <v>370</v>
      </c>
    </row>
    <row r="28" spans="2:12">
      <c r="B28" s="101" t="s">
        <v>371</v>
      </c>
    </row>
    <row r="29" spans="2:12" s="110" customFormat="1" ht="27.75" customHeight="1">
      <c r="B29" s="178" t="s">
        <v>519</v>
      </c>
      <c r="C29" s="178"/>
      <c r="D29" s="178"/>
      <c r="E29" s="178"/>
      <c r="F29" s="178"/>
      <c r="G29" s="178"/>
      <c r="H29" s="178"/>
      <c r="I29" s="178"/>
      <c r="J29" s="178"/>
      <c r="K29" s="178"/>
    </row>
    <row r="30" spans="2:12">
      <c r="B30" s="101" t="s">
        <v>510</v>
      </c>
    </row>
    <row r="31" spans="2:12">
      <c r="B31" s="103" t="s">
        <v>511</v>
      </c>
    </row>
    <row r="32" spans="2:12" ht="17.25" customHeight="1">
      <c r="B32" s="111"/>
      <c r="C32" s="185" t="s">
        <v>464</v>
      </c>
      <c r="D32" s="185"/>
      <c r="E32" s="185"/>
      <c r="F32" s="185"/>
      <c r="G32" s="185"/>
      <c r="H32" s="185"/>
      <c r="I32" s="185"/>
      <c r="J32" s="185"/>
      <c r="K32" s="185"/>
      <c r="L32" s="185"/>
    </row>
    <row r="33" spans="2:13" ht="30" customHeight="1">
      <c r="B33" s="103"/>
      <c r="C33" s="185" t="s">
        <v>512</v>
      </c>
      <c r="D33" s="185"/>
      <c r="E33" s="185"/>
      <c r="F33" s="185"/>
      <c r="G33" s="185"/>
      <c r="H33" s="185"/>
      <c r="I33" s="185"/>
      <c r="J33" s="185"/>
      <c r="K33" s="185"/>
      <c r="L33" s="185"/>
    </row>
    <row r="34" spans="2:13">
      <c r="B34" s="103" t="s">
        <v>462</v>
      </c>
    </row>
    <row r="35" spans="2:13" s="103" customFormat="1" ht="39.75" customHeight="1">
      <c r="C35" s="185" t="s">
        <v>520</v>
      </c>
      <c r="D35" s="185"/>
      <c r="E35" s="185"/>
      <c r="F35" s="185"/>
      <c r="G35" s="185"/>
      <c r="H35" s="185"/>
      <c r="I35" s="185"/>
      <c r="J35" s="185"/>
      <c r="K35" s="185"/>
      <c r="L35" s="185"/>
      <c r="M35" s="99"/>
    </row>
    <row r="36" spans="2:13" s="103" customFormat="1" ht="41.25" customHeight="1">
      <c r="C36" s="185" t="s">
        <v>463</v>
      </c>
      <c r="D36" s="185"/>
      <c r="E36" s="185"/>
      <c r="F36" s="185"/>
      <c r="G36" s="185"/>
      <c r="H36" s="185"/>
      <c r="I36" s="185"/>
      <c r="J36" s="185"/>
      <c r="K36" s="185"/>
      <c r="L36" s="185"/>
      <c r="M36" s="99"/>
    </row>
    <row r="37" spans="2:13" s="103" customFormat="1" ht="74.25" customHeight="1">
      <c r="C37" s="185" t="s">
        <v>513</v>
      </c>
      <c r="D37" s="185"/>
      <c r="E37" s="185"/>
      <c r="F37" s="185"/>
      <c r="G37" s="185"/>
      <c r="H37" s="185"/>
      <c r="I37" s="185"/>
      <c r="J37" s="185"/>
      <c r="K37" s="185"/>
      <c r="L37" s="185"/>
      <c r="M37" s="99"/>
    </row>
    <row r="38" spans="2:13" s="103" customFormat="1" ht="39" customHeight="1">
      <c r="C38" s="185" t="s">
        <v>514</v>
      </c>
      <c r="D38" s="185"/>
      <c r="E38" s="185"/>
      <c r="F38" s="185"/>
      <c r="G38" s="185"/>
      <c r="H38" s="185"/>
      <c r="I38" s="185"/>
      <c r="J38" s="185"/>
      <c r="K38" s="185"/>
      <c r="L38" s="185"/>
      <c r="M38" s="99"/>
    </row>
    <row r="39" spans="2:13" s="110" customFormat="1">
      <c r="B39" s="101"/>
    </row>
    <row r="40" spans="2:13" s="110" customFormat="1">
      <c r="B40" s="112" t="s">
        <v>372</v>
      </c>
    </row>
    <row r="41" spans="2:13" s="110" customFormat="1" ht="15.75" thickBot="1">
      <c r="B41" s="105" t="s">
        <v>373</v>
      </c>
      <c r="C41" s="181" t="s">
        <v>374</v>
      </c>
      <c r="D41" s="182"/>
      <c r="E41" s="182"/>
      <c r="F41" s="182"/>
      <c r="G41" s="182"/>
      <c r="H41" s="182"/>
      <c r="I41" s="182"/>
      <c r="J41" s="182"/>
    </row>
    <row r="42" spans="2:13" s="110" customFormat="1" ht="27.75" customHeight="1" thickTop="1" thickBot="1">
      <c r="B42" s="106" t="s">
        <v>375</v>
      </c>
      <c r="C42" s="186" t="s">
        <v>376</v>
      </c>
      <c r="D42" s="187"/>
      <c r="E42" s="187"/>
      <c r="F42" s="187"/>
      <c r="G42" s="187"/>
      <c r="H42" s="187"/>
      <c r="I42" s="187"/>
      <c r="J42" s="187"/>
    </row>
    <row r="43" spans="2:13" s="110" customFormat="1" ht="42.75" customHeight="1" thickBot="1">
      <c r="B43" s="106" t="s">
        <v>377</v>
      </c>
      <c r="C43" s="186" t="s">
        <v>378</v>
      </c>
      <c r="D43" s="187"/>
      <c r="E43" s="187"/>
      <c r="F43" s="187"/>
      <c r="G43" s="187"/>
      <c r="H43" s="187"/>
      <c r="I43" s="187"/>
      <c r="J43" s="187"/>
    </row>
    <row r="44" spans="2:13" s="110" customFormat="1" ht="46.5" customHeight="1" thickBot="1">
      <c r="B44" s="106" t="s">
        <v>521</v>
      </c>
      <c r="C44" s="186" t="s">
        <v>515</v>
      </c>
      <c r="D44" s="187"/>
      <c r="E44" s="187"/>
      <c r="F44" s="187"/>
      <c r="G44" s="187"/>
      <c r="H44" s="187"/>
      <c r="I44" s="187"/>
      <c r="J44" s="187"/>
    </row>
    <row r="45" spans="2:13" s="110" customFormat="1" ht="25.5" customHeight="1" thickBot="1">
      <c r="B45" s="106" t="s">
        <v>379</v>
      </c>
      <c r="C45" s="186" t="s">
        <v>380</v>
      </c>
      <c r="D45" s="187"/>
      <c r="E45" s="187"/>
      <c r="F45" s="187"/>
      <c r="G45" s="187"/>
      <c r="H45" s="187"/>
      <c r="I45" s="187"/>
      <c r="J45" s="187"/>
    </row>
    <row r="46" spans="2:13" s="110" customFormat="1" ht="23.25" customHeight="1" thickBot="1">
      <c r="B46" s="106" t="s">
        <v>516</v>
      </c>
      <c r="C46" s="186" t="s">
        <v>517</v>
      </c>
      <c r="D46" s="188"/>
      <c r="E46" s="188"/>
      <c r="F46" s="188"/>
      <c r="G46" s="188"/>
      <c r="H46" s="188"/>
      <c r="I46" s="188"/>
      <c r="J46" s="188"/>
    </row>
    <row r="47" spans="2:13" s="110" customFormat="1" ht="15.75" thickBot="1">
      <c r="B47" s="114"/>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NETWORKDEV-2134468847-14426</_dlc_DocId>
    <_dlc_DocIdUrl xmlns="a14523ce-dede-483e-883a-2d83261080bd">
      <Url>http://sharedocs/sites/nd/BusinessAsUsual/_layouts/15/DocIdRedir.aspx?ID=NETWORKDEV-2134468847-14426</Url>
      <Description>NETWORKDEV-2134468847-14426</Description>
    </_dlc_DocIdUrl>
  </documentManagement>
</p:properties>
</file>

<file path=customXml/item2.xml>��< ? x m l   v e r s i o n = " 1 . 0 "   e n c o d i n g = " u t f - 1 6 " ? > < D a t a M a s h u p   s q m i d = " c d 5 1 e 4 2 6 - 4 e 3 1 - 4 1 1 d - b c 8 0 - 9 d a d 8 4 d 2 a 4 6 b "   x m l n s = " h t t p : / / s c h e m a s . m i c r o s o f t . c o m / D a t a M a s h u p " > A A A A A C w E A A B Q S w M E F A A C A A g A a l V G T p r o R z G n A A A A + Q A A A B I A H A B D b 2 5 m a W c v U G F j a 2 F n Z S 5 4 b W w g o h g A K K A U A A A A A A A A A A A A A A A A A A A A A A A A A A A A h Y / N C o J A G E V f R W b v / E l R 8 j k S b R O C K N r K O O m Q j u G M j e / W o k f q F R L K a t f y X s 6 F c x + 3 O 6 R D U w d X 1 V n d m g Q x T F G g j G w L b c o E 9 e 4 U L l A q Y J v L c 1 6 q Y I S N j Q e r E 1 Q 5 d 4 k J 8 d 5 j H + G 2 K w m n l J F j t t n J S j V 5 q I 1 1 u Z E K f V b F / x U S c H j J C I 7 n D M / Y k m M W U Q Z k 6 i H T 5 s v w U R l T I D 8 l r P v a 9 Z 0 S y o S r P Z A p A n n f E E 9 Q S w M E F A A C A A g A a l V G 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p V R k 5 F R r K y I w E A A E E H A A A T A B w A R m 9 y b X V s Y X M v U 2 V j d G l v b j E u b S C i G A A o o B Q A A A A A A A A A A A A A A A A A A A A A A A A A A A D N 0 k F P g z A U B / A 7 C d / h h c v U G B N u J o a D Z p 7 V c T L L Q g q 8 Q U 1 p W V 8 B + f Y W Q c N p Q T c W u N C 0 S f / / H z z C x H A l I e z f / o P r u A 7 l T G M K E p s U a 8 N i g R C A Q O O A f U J V 6 a T b C A / i b s 3 s M S O 8 8 g o m a y z o I H z v F r w M J Z d 7 Z Z f b t w p 1 G 3 i E w k b A D e y 1 K q D m B c s w 6 h O i s o o F p x y a H D W C x q x r F M A q f F z B y 2 b 9 v I G n d 9 i + a v V h r 9 h 5 u 2 u H y 1 G X c W f 8 5 G S 4 z G j O 2 r 8 h R 5 s r n a K G u L X N V W N X o W H d J 5 7 W X 1 4 E I G c Q U F U k r C Q m x E j g n p 0 w x P j 3 k U 2 a p i g 7 B P U G S 3 C t w T 2 O C B d C A C Z T S D m V z C S 5 a U v 8 P j i N t m z b P 3 E N l 5 c Y v i F m p u E b b p / 3 B 0 0 n n H P 4 f m j L t v 0 F 9 w V Q S w E C L Q A U A A I A C A B q V U Z O m u h H M a c A A A D 5 A A A A E g A A A A A A A A A A A A A A A A A A A A A A Q 2 9 u Z m l n L 1 B h Y 2 t h Z 2 U u e G 1 s U E s B A i 0 A F A A C A A g A a l V G T g / K 6 a u k A A A A 6 Q A A A B M A A A A A A A A A A A A A A A A A 8 w A A A F t D b 2 5 0 Z W 5 0 X 1 R 5 c G V z X S 5 4 b W x Q S w E C L Q A U A A I A C A B q V U Z O R U a y s i M B A A B B B w A A E w A A A A A A A A A A A A A A A A D k A Q A A R m 9 y b X V s Y X M v U 2 V j d G l v b j E u b V B L B Q Y A A A A A A w A D A M I A A A B U 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l e w A A A A A A A I N 7 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Z X d k Z X Z 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2 5 l d 2 R l d n R h Y m x l I i A v P j x F b n R y e S B U e X B l P S J S Z W N v d m V y e V R h c m d l d F N o Z W V 0 I i B W Y W x 1 Z T 0 i c 1 N o Z W V 0 M S 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R d W V y e U l E I i B W Y W x 1 Z T 0 i c 2 V j M z g 3 N W Z h L T V i Y 2 M t N G I 3 M C 1 i M W V m L W U 5 Y j B m Z D k 3 N j E 5 N S I g L z 4 8 R W 5 0 c n k g V H l w Z T 0 i R m l s b E x h c 3 R V c G R h d G V k I i B W Y W x 1 Z T 0 i Z D I w M T k t M D I t M D V U M j M 6 N D M 6 M j E u M j U z N z k 3 O F o i I C 8 + P E V u d H J 5 I F R 5 c G U 9 I k Z p b G x D b 2 x 1 b W 5 U e X B l c y I g V m F s d W U 9 I n N C Z 1 l H Q m d Z R 0 J n W U d C Z 1 l G Q m d Z R y I g L z 4 8 R W 5 0 c n k g V H l w Z T 0 i R m l s b E V y c m 9 y Q 2 9 1 b n Q i I F Z h b H V l P S J s M C I g L z 4 8 R W 5 0 c n k g V H l w Z T 0 i R m l s b E N v b H V t b k 5 h b W V z I i B W Y W x 1 Z T 0 i c 1 s m c X V v d D t Q c m 9 q Z W N 0 J n F 1 b 3 Q 7 L C Z x d W 9 0 O 0 9 3 b m V y J n F 1 b 3 Q 7 L C Z x d W 9 0 O 1 V u a X Q g S W Q m c X V v d D s s J n F 1 b 3 Q 7 V G V j a G 5 v b G 9 n e S B U e X B l J n F 1 b 3 Q 7 L C Z x d W 9 0 O 0 Z 1 Z W w g V H l w Z S Z x d W 9 0 O y w m c X V v d D t V b m l 0 I F N 0 Y X R 1 c y Z x d W 9 0 O y w m c X V v d D t O Y W 1 l c G x h d G U g Q 2 F w Y W N p d H k g K E 1 X K S Z x d W 9 0 O y w m c X V v d D t E a X N w Y X R j a C B U e X B l J n F 1 b 3 Q 7 L C Z x d W 9 0 O 0 Z 1 b G w g Q 2 9 t b W V y Y 2 l h b C B V c 2 U g R G F 0 Z S Z x d W 9 0 O y w m c X V v d D t T b 3 V y Y 2 U m c X V v d D s s J n F 1 b 3 Q 7 c 3 V t b W F y e V 9 z d G F 0 d X M m c X V v d D s s J n F 1 b 3 Q 7 b m F t Z X B s Y X R l Y 2 F w Y W N p d H l f b X d f b W F 4 J n F 1 b 3 Q 7 L C Z x d W 9 0 O 2 N h c G F j a X R 5 X 2 V t c H R 5 J n F 1 b 3 Q 7 L C Z x d W 9 0 O 3 J l Z 2 l v b i Z x d W 9 0 O y w m c X V v d D t z d W 1 t Y X J 5 X 2 J 1 Y 2 t l d C Z x d W 9 0 O 1 0 i I C 8 + P E V u d H J 5 I F R 5 c G U 9 I k Z p b G x F c n J v c k N v Z G U i I F Z h b H V l P S J z V W 5 r b m 9 3 b i I g L z 4 8 R W 5 0 c n k g V H l w Z T 0 i R m l s b E N v d W 5 0 I i B W Y W x 1 Z T 0 i b D U 4 I i A v P j x F b n R y e S B U e X B l P S J G a W x s U 3 R h d H V z I i B W Y W x 1 Z T 0 i c 0 N v b X B s Z X R l I i A v P j x F b n R y e S B U e X B l P S J B Z G R l Z F R v R G F 0 Y U 1 v Z G V s I i B W Y W x 1 Z T 0 i b D A i I C 8 + P E V u d H J 5 I F R 5 c G U 9 I l J l b G F 0 a W 9 u c 2 h p c E l u Z m 9 D b 2 5 0 Y W l u Z X I i I F Z h b H V l P S J z e y Z x d W 9 0 O 2 N v b H V t b k N v d W 5 0 J n F 1 b 3 Q 7 O j E 1 L C Z x d W 9 0 O 2 t l e U N v b H V t b k 5 h b W V z J n F 1 b 3 Q 7 O l t d L C Z x d W 9 0 O 3 F 1 Z X J 5 U m V s Y X R p b 2 5 z a G l w c y Z x d W 9 0 O z p b X S w m c X V v d D t j b 2 x 1 b W 5 J Z G V u d G l 0 a W V z J n F 1 b 3 Q 7 O l s m c X V v d D t T Z W N 0 a W 9 u M S 9 u Z X d k Z X Z 0 Y W J s Z S 9 T b 3 V y Y 2 U u e 1 B y b 2 p l Y 3 Q s M H 0 m c X V v d D s s J n F 1 b 3 Q 7 U 2 V j d G l v b j E v b m V 3 Z G V 2 d G F i b G U v U 2 9 1 c m N l L n t P d 2 5 l c i w x f S Z x d W 9 0 O y w m c X V v d D t T Z W N 0 a W 9 u M S 9 u Z X d k Z X Z 0 Y W J s Z S 9 T b 3 V y Y 2 U u e 1 V u a X Q g S W Q s M n 0 m c X V v d D s s J n F 1 b 3 Q 7 U 2 V j d G l v b j E v b m V 3 Z G V 2 d G F i b G U v U 2 9 1 c m N l L n t U Z W N o b m 9 s b 2 d 5 I F R 5 c G U s M 3 0 m c X V v d D s s J n F 1 b 3 Q 7 U 2 V j d G l v b j E v b m V 3 Z G V 2 d G F i b G U v U 2 9 1 c m N l L n t G d W V s I F R 5 c G U s N H 0 m c X V v d D s s J n F 1 b 3 Q 7 U 2 V j d G l v b j E v b m V 3 Z G V 2 d G F i b G U v U 2 9 1 c m N l L n t V b m l 0 I F N 0 Y X R 1 c y w 1 f S Z x d W 9 0 O y w m c X V v d D t T Z W N 0 a W 9 u M S 9 u Z X d k Z X Z 0 Y W J s Z S 9 T b 3 V y Y 2 U u e 0 5 h b W V w b G F 0 Z S B D Y X B h Y 2 l 0 e S A o T V c p L D Z 9 J n F 1 b 3 Q 7 L C Z x d W 9 0 O 1 N l Y 3 R p b 2 4 x L 2 5 l d 2 R l d n R h Y m x l L 1 N v d X J j Z S 5 7 R G l z c G F 0 Y 2 g g V H l w Z S w 3 f S Z x d W 9 0 O y w m c X V v d D t T Z W N 0 a W 9 u M S 9 u Z X d k Z X Z 0 Y W J s Z S 9 T b 3 V y Y 2 U u e 0 Z 1 b G w g Q 2 9 t b W V y Y 2 l h b C B V c 2 U g R G F 0 Z S w 4 f S Z x d W 9 0 O y w m c X V v d D t T Z W N 0 a W 9 u M S 9 u Z X d k Z X Z 0 Y W J s Z S 9 T b 3 V y Y 2 U u e 1 N v d X J j Z S w 5 f S Z x d W 9 0 O y w m c X V v d D t T Z W N 0 a W 9 u M S 9 u Z X d k Z X Z 0 Y W J s Z S 9 T b 3 V y Y 2 U u e 3 N 1 b W 1 h c n l f c 3 R h d H V z L D E w f S Z x d W 9 0 O y w m c X V v d D t T Z W N 0 a W 9 u M S 9 u Z X d k Z X Z 0 Y W J s Z S 9 T b 3 V y Y 2 U u e 2 5 h b W V w b G F 0 Z W N h c G F j a X R 5 X 2 1 3 X 2 1 h e C w x M X 0 m c X V v d D s s J n F 1 b 3 Q 7 U 2 V j d G l v b j E v b m V 3 Z G V 2 d G F i b G U v U 2 9 1 c m N l L n t j Y X B h Y 2 l 0 e V 9 l b X B 0 e S w x M n 0 m c X V v d D s s J n F 1 b 3 Q 7 U 2 V j d G l v b j E v b m V 3 Z G V 2 d G F i b G U v U 2 9 1 c m N l L n t y Z W d p b 2 4 s M T N 9 J n F 1 b 3 Q 7 L C Z x d W 9 0 O 1 N l Y 3 R p b 2 4 x L 2 5 l d 2 R l d n R h Y m x l L 1 N v d X J j Z S 5 7 c 3 V t b W F y e V 9 i d W N r Z X Q s M T R 9 J n F 1 b 3 Q 7 X S w m c X V v d D t D b 2 x 1 b W 5 D b 3 V u d C Z x d W 9 0 O z o x N S w m c X V v d D t L Z X l D b 2 x 1 b W 5 O Y W 1 l c y Z x d W 9 0 O z p b X S w m c X V v d D t D b 2 x 1 b W 5 J Z G V u d G l 0 a W V z J n F 1 b 3 Q 7 O l s m c X V v d D t T Z W N 0 a W 9 u M S 9 u Z X d k Z X Z 0 Y W J s Z S 9 T b 3 V y Y 2 U u e 1 B y b 2 p l Y 3 Q s M H 0 m c X V v d D s s J n F 1 b 3 Q 7 U 2 V j d G l v b j E v b m V 3 Z G V 2 d G F i b G U v U 2 9 1 c m N l L n t P d 2 5 l c i w x f S Z x d W 9 0 O y w m c X V v d D t T Z W N 0 a W 9 u M S 9 u Z X d k Z X Z 0 Y W J s Z S 9 T b 3 V y Y 2 U u e 1 V u a X Q g S W Q s M n 0 m c X V v d D s s J n F 1 b 3 Q 7 U 2 V j d G l v b j E v b m V 3 Z G V 2 d G F i b G U v U 2 9 1 c m N l L n t U Z W N o b m 9 s b 2 d 5 I F R 5 c G U s M 3 0 m c X V v d D s s J n F 1 b 3 Q 7 U 2 V j d G l v b j E v b m V 3 Z G V 2 d G F i b G U v U 2 9 1 c m N l L n t G d W V s I F R 5 c G U s N H 0 m c X V v d D s s J n F 1 b 3 Q 7 U 2 V j d G l v b j E v b m V 3 Z G V 2 d G F i b G U v U 2 9 1 c m N l L n t V b m l 0 I F N 0 Y X R 1 c y w 1 f S Z x d W 9 0 O y w m c X V v d D t T Z W N 0 a W 9 u M S 9 u Z X d k Z X Z 0 Y W J s Z S 9 T b 3 V y Y 2 U u e 0 5 h b W V w b G F 0 Z S B D Y X B h Y 2 l 0 e S A o T V c p L D Z 9 J n F 1 b 3 Q 7 L C Z x d W 9 0 O 1 N l Y 3 R p b 2 4 x L 2 5 l d 2 R l d n R h Y m x l L 1 N v d X J j Z S 5 7 R G l z c G F 0 Y 2 g g V H l w Z S w 3 f S Z x d W 9 0 O y w m c X V v d D t T Z W N 0 a W 9 u M S 9 u Z X d k Z X Z 0 Y W J s Z S 9 T b 3 V y Y 2 U u e 0 Z 1 b G w g Q 2 9 t b W V y Y 2 l h b C B V c 2 U g R G F 0 Z S w 4 f S Z x d W 9 0 O y w m c X V v d D t T Z W N 0 a W 9 u M S 9 u Z X d k Z X Z 0 Y W J s Z S 9 T b 3 V y Y 2 U u e 1 N v d X J j Z S w 5 f S Z x d W 9 0 O y w m c X V v d D t T Z W N 0 a W 9 u M S 9 u Z X d k Z X Z 0 Y W J s Z S 9 T b 3 V y Y 2 U u e 3 N 1 b W 1 h c n l f c 3 R h d H V z L D E w f S Z x d W 9 0 O y w m c X V v d D t T Z W N 0 a W 9 u M S 9 u Z X d k Z X Z 0 Y W J s Z S 9 T b 3 V y Y 2 U u e 2 5 h b W V w b G F 0 Z W N h c G F j a X R 5 X 2 1 3 X 2 1 h e C w x M X 0 m c X V v d D s s J n F 1 b 3 Q 7 U 2 V j d G l v b j E v b m V 3 Z G V 2 d G F i b G U v U 2 9 1 c m N l L n t j Y X B h Y 2 l 0 e V 9 l b X B 0 e S w x M n 0 m c X V v d D s s J n F 1 b 3 Q 7 U 2 V j d G l v b j E v b m V 3 Z G V 2 d G F i b G U v U 2 9 1 c m N l L n t y Z W d p b 2 4 s M T N 9 J n F 1 b 3 Q 7 L C Z x d W 9 0 O 1 N l Y 3 R p b 2 4 x L 2 5 l d 2 R l d n R h Y m x l L 1 N v d X J j Z S 5 7 c 3 V t b W F y e V 9 i d W N r Z X Q s M T R 9 J n F 1 b 3 Q 7 X S w m c X V v d D t S Z W x h d G l v b n N o a X B J b m Z v J n F 1 b 3 Q 7 O l t d f S I g L z 4 8 L 1 N 0 Y W J s Z U V u d H J p Z X M + P C 9 J d G V t P j x J d G V t P j x J d G V t T G 9 j Y X R p b 2 4 + P E l 0 Z W 1 U e X B l P k Z v c m 1 1 b G E 8 L 0 l 0 Z W 1 U e X B l P j x J d G V t U G F 0 a D 5 T Z W N 0 a W 9 u M S 9 u Z X d k Z X Z 0 Y W J s Z S 9 T b 3 V y Y 2 U 8 L 0 l 0 Z W 1 Q Y X R o P j w v S X R l b U x v Y 2 F 0 a W 9 u P j x T d G F i b G V F b n R y a W V z I C 8 + P C 9 J d G V t P j x J d G V t P j x J d G V t T G 9 j Y X R p b 2 4 + P E l 0 Z W 1 U e X B l P k Z v c m 1 1 b G E 8 L 0 l 0 Z W 1 U e X B l P j x J d G V t U G F 0 a D 5 T Z W N 0 a W 9 u M S 9 l e G l z d G l u Z 3 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S Z W N v d m V y e V R h c m d l d F N o Z W V 0 I i B W Y W x 1 Z T 0 i c 1 N o Z W V 0 M i 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C d W Z m Z X J O Z X h 0 U m V m c m V z a C I g V m F s d W U 9 I m w x I i A v P j x F b n R y e S B U e X B l P S J R d W V y e U l E I i B W Y W x 1 Z T 0 i c z Q 2 Y j I 1 N W U w L W Y 4 O G Y t N D Y z M C 1 h Z T A 2 L W U x M 2 Q z N T E 2 N z I 0 Y S I g L z 4 8 R W 5 0 c n k g V H l w Z T 0 i R m l s b F R h c m d l d C I g V m F s d W U 9 I n N l e G l z d G l u Z 3 N 0 Y W J s Z S I g L z 4 8 R W 5 0 c n k g V H l w Z T 0 i R m l s b E x h c 3 R V c G R h d G V k I i B W Y W x 1 Z T 0 i Z D I w M T k t M D I t M D V U M j M 6 N D M 6 M T U u N j U 3 O T U 1 N l o i I C 8 + P E V u d H J 5 I F R 5 c G U 9 I k Z p b G x F c n J v c k N v d W 5 0 I i B W Y W x 1 Z T 0 i b D A i I C 8 + P E V u d H J 5 I F R 5 c G U 9 I k Z p b G x D b 2 x 1 b W 5 U e X B l c y I g V m F s d W U 9 I n N C Z 1 l H Q l F Z R 0 J n W U d C Z 1 k 9 I i A v P j x F b n R y e S B U e X B l P S J G a W x s R X J y b 3 J D b 2 R l I i B W Y W x 1 Z T 0 i c 1 V u a 2 5 v d 2 4 i I C 8 + P E V u d H J 5 I F R 5 c G U 9 I k Z p b G x D b 2 x 1 b W 5 O Y W 1 l c y I g V m F s d W U 9 I n N b J n F 1 b 3 Q 7 U G 9 3 Z X I g U 3 R h d G l v b i Z x d W 9 0 O y w m c X V v d D t P d 2 5 l c i Z x d W 9 0 O y w m c X V v d D t V b m l 0 I E 5 1 b W J l c i B h b m Q g T m F t Z X B s Y X R l I E N h c G F j a X R 5 I C h N V y k m c X V v d D s s J n F 1 b 3 Q 7 T m F t Z X B s Y X R l I E N h c G F j a X R 5 I C h N V y k m c X V v d D s s J n F 1 b 3 Q 7 V G V j a G 5 v b G 9 n e S B U e X B l J n F 1 b 3 Q 7 L C Z x d W 9 0 O 0 Z 1 Z W w g V H l w Z S Z x d W 9 0 O y w m c X V v d D t E a X N w Y X R j a C B U e X B l J n F 1 b 3 Q 7 L C Z x d W 9 0 O 1 N l c n Z p Y 2 U g U 3 R h d H V z J n F 1 b 3 Q 7 L C Z x d W 9 0 O 1 J l Z 2 l v b i Z x d W 9 0 O y w m c X V v d D t z d W 1 t Y X J 5 X 3 N 0 Y X R 1 c y Z x d W 9 0 O y w m c X V v d D t z d W 1 t Y X J 5 X 2 J 1 Y 2 t l d C Z x d W 9 0 O 1 0 i I C 8 + P E V u d H J 5 I F R 5 c G U 9 I k Z p b G x D b 3 V u d C I g V m F s d W U 9 I m w z M C I g L z 4 8 R W 5 0 c n k g V H l w Z T 0 i R m l s b F N 0 Y X R 1 c y I g V m F s d W U 9 I n N D b 2 1 w b G V 0 Z S I g L z 4 8 R W 5 0 c n k g V H l w Z T 0 i Q W R k Z W R U b 0 R h d G F N b 2 R l b C I g V m F s d W U 9 I m w w I i A v P j x F b n R y e S B U e X B l P S J S Z W x h d G l v b n N o a X B J b m Z v Q 2 9 u d G F p b m V y I i B W Y W x 1 Z T 0 i c 3 s m c X V v d D t j b 2 x 1 b W 5 D b 3 V u d C Z x d W 9 0 O z o x M S w m c X V v d D t r Z X l D b 2 x 1 b W 5 O Y W 1 l c y Z x d W 9 0 O z p b X S w m c X V v d D t x d W V y e V J l b G F 0 a W 9 u c 2 h p c H M m c X V v d D s 6 W 1 0 s J n F 1 b 3 Q 7 Y 2 9 s d W 1 u S W R l b n R p d G l l c y Z x d W 9 0 O z p b J n F 1 b 3 Q 7 U 2 V j d G l v b j E v Z X h p c 3 R p b m d z d G F i b G U v U 2 9 1 c m N l L n t Q b 3 d l c i B T d G F 0 a W 9 u L D B 9 J n F 1 b 3 Q 7 L C Z x d W 9 0 O 1 N l Y 3 R p b 2 4 x L 2 V 4 a X N 0 a W 5 n c 3 R h Y m x l L 1 N v d X J j Z S 5 7 T 3 d u Z X I s M X 0 m c X V v d D s s J n F 1 b 3 Q 7 U 2 V j d G l v b j E v Z X h p c 3 R p b m d z d G F i b G U v U 2 9 1 c m N l L n t V b m l 0 I E 5 1 b W J l c i B h b m Q g T m F t Z X B s Y X R l I E N h c G F j a X R 5 I C h N V y k s M n 0 m c X V v d D s s J n F 1 b 3 Q 7 U 2 V j d G l v b j E v Z X h p c 3 R p b m d z d G F i b G U v U 2 9 1 c m N l L n t O Y W 1 l c G x h d G U g Q 2 F w Y W N p d H k g K E 1 X K S w z f S Z x d W 9 0 O y w m c X V v d D t T Z W N 0 a W 9 u M S 9 l e G l z d G l u Z 3 N 0 Y W J s Z S 9 T b 3 V y Y 2 U u e 1 R l Y 2 h u b 2 x v Z 3 k g V H l w Z S w 0 f S Z x d W 9 0 O y w m c X V v d D t T Z W N 0 a W 9 u M S 9 l e G l z d G l u Z 3 N 0 Y W J s Z S 9 T b 3 V y Y 2 U u e 0 Z 1 Z W w g V H l w Z S w 1 f S Z x d W 9 0 O y w m c X V v d D t T Z W N 0 a W 9 u M S 9 l e G l z d G l u Z 3 N 0 Y W J s Z S 9 T b 3 V y Y 2 U u e 0 R p c 3 B h d G N o I F R 5 c G U s N n 0 m c X V v d D s s J n F 1 b 3 Q 7 U 2 V j d G l v b j E v Z X h p c 3 R p b m d z d G F i b G U v U 2 9 1 c m N l L n t T Z X J 2 a W N l I F N 0 Y X R 1 c y w 3 f S Z x d W 9 0 O y w m c X V v d D t T Z W N 0 a W 9 u M S 9 l e G l z d G l u Z 3 N 0 Y W J s Z S 9 T b 3 V y Y 2 U u e 1 J l Z 2 l v b i w 4 f S Z x d W 9 0 O y w m c X V v d D t T Z W N 0 a W 9 u M S 9 l e G l z d G l u Z 3 N 0 Y W J s Z S 9 T b 3 V y Y 2 U u e 3 N 1 b W 1 h c n l f c 3 R h d H V z L D l 9 J n F 1 b 3 Q 7 L C Z x d W 9 0 O 1 N l Y 3 R p b 2 4 x L 2 V 4 a X N 0 a W 5 n c 3 R h Y m x l L 1 N v d X J j Z S 5 7 c 3 V t b W F y e V 9 i d W N r Z X Q s M T B 9 J n F 1 b 3 Q 7 X S w m c X V v d D t D b 2 x 1 b W 5 D b 3 V u d C Z x d W 9 0 O z o x M S w m c X V v d D t L Z X l D b 2 x 1 b W 5 O Y W 1 l c y Z x d W 9 0 O z p b X S w m c X V v d D t D b 2 x 1 b W 5 J Z G V u d G l 0 a W V z J n F 1 b 3 Q 7 O l s m c X V v d D t T Z W N 0 a W 9 u M S 9 l e G l z d G l u Z 3 N 0 Y W J s Z S 9 T b 3 V y Y 2 U u e 1 B v d 2 V y I F N 0 Y X R p b 2 4 s M H 0 m c X V v d D s s J n F 1 b 3 Q 7 U 2 V j d G l v b j E v Z X h p c 3 R p b m d z d G F i b G U v U 2 9 1 c m N l L n t P d 2 5 l c i w x f S Z x d W 9 0 O y w m c X V v d D t T Z W N 0 a W 9 u M S 9 l e G l z d G l u Z 3 N 0 Y W J s Z S 9 T b 3 V y Y 2 U u e 1 V u a X Q g T n V t Y m V y I G F u Z C B O Y W 1 l c G x h d G U g Q 2 F w Y W N p d H k g K E 1 X K S w y f S Z x d W 9 0 O y w m c X V v d D t T Z W N 0 a W 9 u M S 9 l e G l z d G l u Z 3 N 0 Y W J s Z S 9 T b 3 V y Y 2 U u e 0 5 h b W V w b G F 0 Z S B D Y X B h Y 2 l 0 e S A o T V c p L D N 9 J n F 1 b 3 Q 7 L C Z x d W 9 0 O 1 N l Y 3 R p b 2 4 x L 2 V 4 a X N 0 a W 5 n c 3 R h Y m x l L 1 N v d X J j Z S 5 7 V G V j a G 5 v b G 9 n e S B U e X B l L D R 9 J n F 1 b 3 Q 7 L C Z x d W 9 0 O 1 N l Y 3 R p b 2 4 x L 2 V 4 a X N 0 a W 5 n c 3 R h Y m x l L 1 N v d X J j Z S 5 7 R n V l b C B U e X B l L D V 9 J n F 1 b 3 Q 7 L C Z x d W 9 0 O 1 N l Y 3 R p b 2 4 x L 2 V 4 a X N 0 a W 5 n c 3 R h Y m x l L 1 N v d X J j Z S 5 7 R G l z c G F 0 Y 2 g g V H l w Z S w 2 f S Z x d W 9 0 O y w m c X V v d D t T Z W N 0 a W 9 u M S 9 l e G l z d G l u Z 3 N 0 Y W J s Z S 9 T b 3 V y Y 2 U u e 1 N l c n Z p Y 2 U g U 3 R h d H V z L D d 9 J n F 1 b 3 Q 7 L C Z x d W 9 0 O 1 N l Y 3 R p b 2 4 x L 2 V 4 a X N 0 a W 5 n c 3 R h Y m x l L 1 N v d X J j Z S 5 7 U m V n a W 9 u L D h 9 J n F 1 b 3 Q 7 L C Z x d W 9 0 O 1 N l Y 3 R p b 2 4 x L 2 V 4 a X N 0 a W 5 n c 3 R h Y m x l L 1 N v d X J j Z S 5 7 c 3 V t b W F y e V 9 z d G F 0 d X M s O X 0 m c X V v d D s s J n F 1 b 3 Q 7 U 2 V j d G l v b j E v Z X h p c 3 R p b m d z d G F i b G U v U 2 9 1 c m N l L n t z d W 1 t Y X J 5 X 2 J 1 Y 2 t l d C w x M H 0 m c X V v d D t d L C Z x d W 9 0 O 1 J l b G F 0 a W 9 u c 2 h p c E l u Z m 8 m c X V v d D s 6 W 1 1 9 I i A v P j w v U 3 R h Y m x l R W 5 0 c m l l c z 4 8 L 0 l 0 Z W 0 + P E l 0 Z W 0 + P E l 0 Z W 1 M b 2 N h d G l v b j 4 8 S X R l b V R 5 c G U + R m 9 y b X V s Y T w v S X R l b V R 5 c G U + P E l 0 Z W 1 Q Y X R o P l N l Y 3 R p b 2 4 x L 2 V 4 a X N 0 a W 5 n c 3 R h Y m x l L 1 N v d X J j Z T w v S X R l b V B h d G g + P C 9 J d G V t T G 9 j Y X R p b 2 4 + P F N 0 Y W J s Z U V u d H J p Z X M g L z 4 8 L 0 l 0 Z W 0 + P E l 0 Z W 0 + P E l 0 Z W 1 M b 2 N h d G l v b j 4 8 S X R l b V R 5 c G U + R m 9 y b X V s Y T w v S X R l b V R 5 c G U + P E l 0 Z W 1 Q Y X R o P l N l Y 3 R p b 2 4 x L 2 V 4 a X N 0 a W 5 n b n 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2 V 4 a X N 0 a W 5 n b n N 0 Y W J s Z S I g L z 4 8 R W 5 0 c n k g V H l w Z T 0 i U m V j b 3 Z l c n l U Y X J n Z X R T a G V l d C I g V m F s d W U 9 I n N T a G V l d D E 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M 0 M m U w N j I w Y i 1 k M D l k L T R j M G M t Y j Y 2 Y y 1 k N G J l O D M x Y m Y 2 O D M i I C 8 + P E V u d H J 5 I F R 5 c G U 9 I k Z p b G x M Y X N 0 V X B k Y X R l Z C I g V m F s d W U 9 I m Q y M D E 5 L T A y L T A 1 V D I z O j Q z O j E 2 L j A 4 N z k 1 N T l a I i A v P j x F b n R y e S B U e X B l P S J G a W x s R X J y b 3 J D b 3 V u d C I g V m F s d W U 9 I m w w I i A v P j x F b n R y e S B U e X B l P S J G a W x s Q 2 9 s d W 1 u V H l w Z X M i I F Z h b H V l P S J z Q m d Z R k J n W U d C Z 1 l H I i A v P j x F b n R y e S B U e X B l P S J G a W x s R X J y b 3 J D b 2 R l I i B W Y W x 1 Z T 0 i c 1 V u a 2 5 v d 2 4 i I C 8 + P E V u d H J 5 I F R 5 c G U 9 I k Z p b G x D b 2 x 1 b W 5 O Y W 1 l c y I g V m F s d W U 9 I n N b J n F 1 b 3 Q 7 U G 9 3 Z X I g U 3 R h d G l v b i Z x d W 9 0 O y w m c X V v d D t P d 2 5 l c i Z x d W 9 0 O y w m c X V v d D t O Y W 1 l c G x h d G U g Q 2 F w Y W N p d H k g K E 1 X K S Z x d W 9 0 O y w m c X V v d D t U Z W N o b m 9 s b 2 d 5 I F R 5 c G U m c X V v d D s s J n F 1 b 3 Q 7 R n V l b C B U e X B l J n F 1 b 3 Q 7 L C Z x d W 9 0 O 1 N l c n Z p Y 2 U g U 3 R h d H V z J n F 1 b 3 Q 7 L C Z x d W 9 0 O 1 J l Z 2 l v b i Z x d W 9 0 O y w m c X V v d D t z d W 1 t Y X J 5 X 2 J 1 Y 2 t l d C Z x d W 9 0 O y w m c X V v d D t z d W 1 t Y X J 5 X 3 N 0 Y X R 1 c y Z x d W 9 0 O 1 0 i I C 8 + P E V u d H J 5 I F R 5 c G U 9 I k Z p b G x D b 3 V u d C I g V m F s d W U 9 I m w z O S I g L z 4 8 R W 5 0 c n k g V H l w Z T 0 i R m l s b F N 0 Y X R 1 c y I g V m F s d W U 9 I n N D b 2 1 w b G V 0 Z S 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l e G l z d G l u Z 2 5 z d G F i b G U v U 2 9 1 c m N l L n t Q b 3 d l c i B T d G F 0 a W 9 u L D B 9 J n F 1 b 3 Q 7 L C Z x d W 9 0 O 1 N l Y 3 R p b 2 4 x L 2 V 4 a X N 0 a W 5 n b n N 0 Y W J s Z S 9 T b 3 V y Y 2 U u e 0 9 3 b m V y L D F 9 J n F 1 b 3 Q 7 L C Z x d W 9 0 O 1 N l Y 3 R p b 2 4 x L 2 V 4 a X N 0 a W 5 n b n N 0 Y W J s Z S 9 T b 3 V y Y 2 U u e 0 5 h b W V w b G F 0 Z S B D Y X B h Y 2 l 0 e S A o T V c p L D J 9 J n F 1 b 3 Q 7 L C Z x d W 9 0 O 1 N l Y 3 R p b 2 4 x L 2 V 4 a X N 0 a W 5 n b n N 0 Y W J s Z S 9 T b 3 V y Y 2 U u e 1 R l Y 2 h u b 2 x v Z 3 k g V H l w Z S w z f S Z x d W 9 0 O y w m c X V v d D t T Z W N 0 a W 9 u M S 9 l e G l z d G l u Z 2 5 z d G F i b G U v U 2 9 1 c m N l L n t G d W V s I F R 5 c G U s N H 0 m c X V v d D s s J n F 1 b 3 Q 7 U 2 V j d G l v b j E v Z X h p c 3 R p b m d u c 3 R h Y m x l L 1 N v d X J j Z S 5 7 U 2 V y d m l j Z S B T d G F 0 d X M s N X 0 m c X V v d D s s J n F 1 b 3 Q 7 U 2 V j d G l v b j E v Z X h p c 3 R p b m d u c 3 R h Y m x l L 1 N v d X J j Z S 5 7 U m V n a W 9 u L D Z 9 J n F 1 b 3 Q 7 L C Z x d W 9 0 O 1 N l Y 3 R p b 2 4 x L 2 V 4 a X N 0 a W 5 n b n N 0 Y W J s Z S 9 T b 3 V y Y 2 U u e 3 N 1 b W 1 h c n l f Y n V j a 2 V 0 L D d 9 J n F 1 b 3 Q 7 L C Z x d W 9 0 O 1 N l Y 3 R p b 2 4 x L 2 V 4 a X N 0 a W 5 n b n N 0 Y W J s Z S 9 T b 3 V y Y 2 U u e 3 N 1 b W 1 h c n l f c 3 R h d H V z L D h 9 J n F 1 b 3 Q 7 X S w m c X V v d D t D b 2 x 1 b W 5 D b 3 V u d C Z x d W 9 0 O z o 5 L C Z x d W 9 0 O 0 t l e U N v b H V t b k 5 h b W V z J n F 1 b 3 Q 7 O l t d L C Z x d W 9 0 O 0 N v b H V t b k l k Z W 5 0 a X R p Z X M m c X V v d D s 6 W y Z x d W 9 0 O 1 N l Y 3 R p b 2 4 x L 2 V 4 a X N 0 a W 5 n b n N 0 Y W J s Z S 9 T b 3 V y Y 2 U u e 1 B v d 2 V y I F N 0 Y X R p b 2 4 s M H 0 m c X V v d D s s J n F 1 b 3 Q 7 U 2 V j d G l v b j E v Z X h p c 3 R p b m d u c 3 R h Y m x l L 1 N v d X J j Z S 5 7 T 3 d u Z X I s M X 0 m c X V v d D s s J n F 1 b 3 Q 7 U 2 V j d G l v b j E v Z X h p c 3 R p b m d u c 3 R h Y m x l L 1 N v d X J j Z S 5 7 T m F t Z X B s Y X R l I E N h c G F j a X R 5 I C h N V y k s M n 0 m c X V v d D s s J n F 1 b 3 Q 7 U 2 V j d G l v b j E v Z X h p c 3 R p b m d u c 3 R h Y m x l L 1 N v d X J j Z S 5 7 V G V j a G 5 v b G 9 n e S B U e X B l L D N 9 J n F 1 b 3 Q 7 L C Z x d W 9 0 O 1 N l Y 3 R p b 2 4 x L 2 V 4 a X N 0 a W 5 n b n N 0 Y W J s Z S 9 T b 3 V y Y 2 U u e 0 Z 1 Z W w g V H l w Z S w 0 f S Z x d W 9 0 O y w m c X V v d D t T Z W N 0 a W 9 u M S 9 l e G l z d G l u Z 2 5 z d G F i b G U v U 2 9 1 c m N l L n t T Z X J 2 a W N l I F N 0 Y X R 1 c y w 1 f S Z x d W 9 0 O y w m c X V v d D t T Z W N 0 a W 9 u M S 9 l e G l z d G l u Z 2 5 z d G F i b G U v U 2 9 1 c m N l L n t S Z W d p b 2 4 s N n 0 m c X V v d D s s J n F 1 b 3 Q 7 U 2 V j d G l v b j E v Z X h p c 3 R p b m d u c 3 R h Y m x l L 1 N v d X J j Z S 5 7 c 3 V t b W F y e V 9 i d W N r Z X Q s N 3 0 m c X V v d D s s J n F 1 b 3 Q 7 U 2 V j d G l v b j E v Z X h p c 3 R p b m d u c 3 R h Y m x l L 1 N v d X J j Z S 5 7 c 3 V t b W F y e V 9 z d G F 0 d X M s O H 0 m c X V v d D t d L C Z x d W 9 0 O 1 J l b G F 0 a W 9 u c 2 h p c E l u Z m 8 m c X V v d D s 6 W 1 1 9 I i A v P j w v U 3 R h Y m x l R W 5 0 c m l l c z 4 8 L 0 l 0 Z W 0 + P E l 0 Z W 0 + P E l 0 Z W 1 M b 2 N h d G l v b j 4 8 S X R l b V R 5 c G U + R m 9 y b X V s Y T w v S X R l b V R 5 c G U + P E l 0 Z W 1 Q Y X R o P l N l Y 3 R p b 2 4 x L 2 V 4 a X N 0 a W 5 n b n N 0 Y W J s Z S 9 T b 3 V y Y 2 U 8 L 0 l 0 Z W 1 Q Y X R o P j w v S X R l b U x v Y 2 F 0 a W 9 u P j x T d G F i b G V F b n R y a W V z I C 8 + P C 9 J d G V t P j x J d G V t P j x J d G V t T G 9 j Y X R p b 2 4 + P E l 0 Z W 1 U e X B l P k Z v c m 1 1 b G E 8 L 0 l 0 Z W 1 U e X B l P j x J d G V t U G F 0 a D 5 T Z W N 0 a W 9 u M S 9 z d W 1 j Y X B z Y W x s 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R m l s b F R h c m d l d C I g V m F s d W U 9 I n N z d W 1 j Y X B z Y W x s d G F i b G U i I C 8 + P E V u d H J 5 I F R 5 c G U 9 I l J l Y 2 9 2 Z X J 5 V G F y Z 2 V 0 U 2 h l Z X Q i I F Z h b H V l P S J z U 3 V t b W V y I F N j a G V k d W x l Z C B D Y X B h Y 2 l 0 a W V z I i A v P j x F b n R y e S B U e X B l P S J S Z W N v d m V y e V R h c m d l d E N v b H V t b i I g V m F s d W U 9 I m w x I i A v P j x F b n R y e S B U e X B l P S J S Z W N v d m V y e V R h c m d l d F J v d y I g V m F s d W U 9 I m w y I i A v P j x F b n R y e S B U e X B l P S J O Y W 1 l V X B k Y X R l Z E F m d G V y R m l s b C I g V m F s d W U 9 I m w w I i A v P j x F b n R y e S B U e X B l P S J G a W x s Z W R D b 2 1 w b G V 0 Z V J l c 3 V s d F R v V 2 9 y a 3 N o Z W V 0 I i B W Y W x 1 Z T 0 i b D E i I C 8 + P E V u d H J 5 I F R 5 c G U 9 I l F 1 Z X J 5 S U Q i I F Z h b H V l P S J z N T Z j M D B i O T A t N z I 3 M i 0 0 M 2 N m L W E z Z m E t Y T c y O W J i M z k y M z V k I i A v P j x F b n R y e S B U e X B l P S J G a W x s T G F z d F V w Z G F 0 Z W Q i I F Z h b H V l P S J k M j A x O S 0 w M i 0 w N V Q y M z o 0 M z o x N S 4 4 M D Q 1 M T c w W i I g L z 4 8 R W 5 0 c n k g V H l w Z T 0 i R m l s b E V y c m 9 y Q 2 9 1 b n Q i I F Z h b H V l P S J s M C I g L z 4 8 R W 5 0 c n k g V H l w Z T 0 i R m l s b E N v b H V t b l R 5 c G V z I i B W Y W x 1 Z T 0 i c 0 J n V U Z C U V V G Q l F V R k J R V U d C Z 1 l H I i A v P j x F b n R y e S B U e X B l P S J G a W x s R X J y b 3 J D b 2 R l I i B W Y W x 1 Z T 0 i c 1 V u a 2 5 v d 2 4 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z N 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2 F s b H R h Y m x l L 1 N v d X J j Z S 5 7 U G 9 3 Z X J T d G F 0 a W 9 u L D B 9 J n F 1 b 3 Q 7 L C Z x d W 9 0 O 1 N l Y 3 R p b 2 4 x L 3 N 1 b W N h c H N h b G x 0 Y W J s Z S 9 T b 3 V y Y 2 U u e z I w M T g x O S w x f S Z x d W 9 0 O y w m c X V v d D t T Z W N 0 a W 9 u M S 9 z d W 1 j Y X B z Y W x s d G F i b G U v U 2 9 1 c m N l L n s y M D E 5 M j A s M n 0 m c X V v d D s s J n F 1 b 3 Q 7 U 2 V j d G l v b j E v c 3 V t Y 2 F w c 2 F s b H R h Y m x l L 1 N v d X J j Z S 5 7 M j A y M D I x L D N 9 J n F 1 b 3 Q 7 L C Z x d W 9 0 O 1 N l Y 3 R p b 2 4 x L 3 N 1 b W N h c H N h b G x 0 Y W J s Z S 9 T b 3 V y Y 2 U u e z I w M j E y M i w 0 f S Z x d W 9 0 O y w m c X V v d D t T Z W N 0 a W 9 u M S 9 z d W 1 j Y X B z Y W x s d G F i b G U v U 2 9 1 c m N l L n s y M D I y M j M s N X 0 m c X V v d D s s J n F 1 b 3 Q 7 U 2 V j d G l v b j E v c 3 V t Y 2 F w c 2 F s b H R h Y m x l L 1 N v d X J j Z S 5 7 M j A y M z I 0 L D Z 9 J n F 1 b 3 Q 7 L C Z x d W 9 0 O 1 N l Y 3 R p b 2 4 x L 3 N 1 b W N h c H N h b G x 0 Y W J s Z S 9 T b 3 V y Y 2 U u e z I w M j Q y N S w 3 f S Z x d W 9 0 O y w m c X V v d D t T Z W N 0 a W 9 u M S 9 z d W 1 j Y X B z Y W x s d G F i b G U v U 2 9 1 c m N l L n s y M D I 1 M j Y s O H 0 m c X V v d D s s J n F 1 b 3 Q 7 U 2 V j d G l v b j E v c 3 V t Y 2 F w c 2 F s b H R h Y m x l L 1 N v d X J j Z S 5 7 M j A y N j I 3 L D l 9 J n F 1 b 3 Q 7 L C Z x d W 9 0 O 1 N l Y 3 R p b 2 4 x L 3 N 1 b W N h c H N h b G x 0 Y W J s Z S 9 T b 3 V y Y 2 U u e z I w M j c y O C w x M H 0 m c X V v d D s s J n F 1 b 3 Q 7 U 2 V j d G l v b j E v c 3 V t Y 2 F w c 2 F s b H R h Y m x l L 1 N v d X J j Z S 5 7 R G l z c G F 0 Y 2 h U e X B l L D E x f S Z x d W 9 0 O y w m c X V v d D t T Z W N 0 a W 9 u M S 9 z d W 1 j Y X B z Y W x s d G F i b G U v U 2 9 1 c m N l L n t G d W V s V H l w Z S w x M n 0 m c X V v d D s s J n F 1 b 3 Q 7 U 2 V j d G l v b j E v c 3 V t Y 2 F w c 2 F s b H R h Y m x l L 1 N v d X J j Z S 5 7 U m V n a W 9 u L D E z f S Z x d W 9 0 O y w m c X V v d D t T Z W N 0 a W 9 u M S 9 z d W 1 j Y X B z Y W x s d G F i b G U v U 2 9 1 c m N l L n t T Z W F z b 2 4 s M T R 9 J n F 1 b 3 Q 7 X S w m c X V v d D t D b 2 x 1 b W 5 D b 3 V u d C Z x d W 9 0 O z o x N S w m c X V v d D t L Z X l D b 2 x 1 b W 5 O Y W 1 l c y Z x d W 9 0 O z p b X S w m c X V v d D t D b 2 x 1 b W 5 J Z G V u d G l 0 a W V z J n F 1 b 3 Q 7 O l s m c X V v d D t T Z W N 0 a W 9 u M S 9 z d W 1 j Y X B z Y W x s d G F i b G U v U 2 9 1 c m N l L n t Q b 3 d l c l N 0 Y X R p b 2 4 s M H 0 m c X V v d D s s J n F 1 b 3 Q 7 U 2 V j d G l v b j E v c 3 V t Y 2 F w c 2 F s b H R h Y m x l L 1 N v d X J j Z S 5 7 M j A x O D E 5 L D F 9 J n F 1 b 3 Q 7 L C Z x d W 9 0 O 1 N l Y 3 R p b 2 4 x L 3 N 1 b W N h c H N h b G x 0 Y W J s Z S 9 T b 3 V y Y 2 U u e z I w M T k y M C w y f S Z x d W 9 0 O y w m c X V v d D t T Z W N 0 a W 9 u M S 9 z d W 1 j Y X B z Y W x s d G F i b G U v U 2 9 1 c m N l L n s y M D I w M j E s M 3 0 m c X V v d D s s J n F 1 b 3 Q 7 U 2 V j d G l v b j E v c 3 V t Y 2 F w c 2 F s b H R h Y m x l L 1 N v d X J j Z S 5 7 M j A y M T I y L D R 9 J n F 1 b 3 Q 7 L C Z x d W 9 0 O 1 N l Y 3 R p b 2 4 x L 3 N 1 b W N h c H N h b G x 0 Y W J s Z S 9 T b 3 V y Y 2 U u e z I w M j I y M y w 1 f S Z x d W 9 0 O y w m c X V v d D t T Z W N 0 a W 9 u M S 9 z d W 1 j Y X B z Y W x s d G F i b G U v U 2 9 1 c m N l L n s y M D I z M j Q s N n 0 m c X V v d D s s J n F 1 b 3 Q 7 U 2 V j d G l v b j E v c 3 V t Y 2 F w c 2 F s b H R h Y m x l L 1 N v d X J j Z S 5 7 M j A y N D I 1 L D d 9 J n F 1 b 3 Q 7 L C Z x d W 9 0 O 1 N l Y 3 R p b 2 4 x L 3 N 1 b W N h c H N h b G x 0 Y W J s Z S 9 T b 3 V y Y 2 U u e z I w M j U y N i w 4 f S Z x d W 9 0 O y w m c X V v d D t T Z W N 0 a W 9 u M S 9 z d W 1 j Y X B z Y W x s d G F i b G U v U 2 9 1 c m N l L n s y M D I 2 M j c s O X 0 m c X V v d D s s J n F 1 b 3 Q 7 U 2 V j d G l v b j E v c 3 V t Y 2 F w c 2 F s b H R h Y m x l L 1 N v d X J j Z S 5 7 M j A y N z I 4 L D E w f S Z x d W 9 0 O y w m c X V v d D t T Z W N 0 a W 9 u M S 9 z d W 1 j Y X B z Y W x s d G F i b G U v U 2 9 1 c m N l L n t E a X N w Y X R j a F R 5 c G U s M T F 9 J n F 1 b 3 Q 7 L C Z x d W 9 0 O 1 N l Y 3 R p b 2 4 x L 3 N 1 b W N h c H N h b G x 0 Y W J s Z S 9 T b 3 V y Y 2 U u e 0 Z 1 Z W x U e X B l L D E y f S Z x d W 9 0 O y w m c X V v d D t T Z W N 0 a W 9 u M S 9 z d W 1 j Y X B z Y W x s d G F i b G U v U 2 9 1 c m N l L n t S Z W d p b 2 4 s M T N 9 J n F 1 b 3 Q 7 L C Z x d W 9 0 O 1 N l Y 3 R p b 2 4 x L 3 N 1 b W N h c H N h b G x 0 Y W J s Z S 9 T b 3 V y Y 2 U u e 1 N l Y X N v b i w x N H 0 m c X V v d D t d L C Z x d W 9 0 O 1 J l b G F 0 a W 9 u c 2 h p c E l u Z m 8 m c X V v d D s 6 W 1 1 9 I i A v P j w v U 3 R h Y m x l R W 5 0 c m l l c z 4 8 L 0 l 0 Z W 0 + P E l 0 Z W 0 + P E l 0 Z W 1 M b 2 N h d G l v b j 4 8 S X R l b V R 5 c G U + R m 9 y b X V s Y T w v S X R l b V R 5 c G U + P E l 0 Z W 1 Q Y X R o P l N l Y 3 R p b 2 4 x L 3 N 1 b W N h c H N h b G x 0 Y W J s Z S 9 T b 3 V y Y 2 U 8 L 0 l 0 Z W 1 Q Y X R o P j w v S X R l b U x v Y 2 F 0 a W 9 u P j x T d G F i b G V F b n R y a W V z I C 8 + P C 9 J d G V t P j x J d G V t P j x J d G V t T G 9 j Y X R p b 2 4 + P E l 0 Z W 1 U e X B l P k Z v c m 1 1 b G E 8 L 0 l 0 Z W 1 U e X B l P j x J d G V t U G F 0 a D 5 T Z W N 0 a W 9 u M S 9 z d W 1 j Y X B z U 3 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l J l Y 2 9 2 Z X J 5 V G F y Z 2 V 0 U 2 h l Z X Q i I F Z h b H V l P S J z U 3 V t b W V y I F N j a G V k d W x l Z C B D Y X B h Y 2 l 0 a W V z I i A v P j x F b n R y e S B U e X B l P S J S Z W N v d m V y e V R h c m d l d E N v b H V t b i I g V m F s d W U 9 I m w x I i A v P j x F b n R y e S B U e X B l P S J S Z W N v d m V y e V R h c m d l d F J v d y I g V m F s d W U 9 I m w 1 M S I g L z 4 8 R W 5 0 c n k g V H l w Z T 0 i T m F t Z V V w Z G F 0 Z W R B Z n R l c k Z p b G w i I F Z h b H V l P S J s M C I g L z 4 8 R W 5 0 c n k g V H l w Z T 0 i R m l s b G V k Q 2 9 t c G x l d G V S Z X N 1 b H R U b 1 d v c m t z a G V l d C I g V m F s d W U 9 I m w x I i A v P j x F b n R y e S B U e X B l P S J R d W V y e U l E I i B W Y W x 1 Z T 0 i c z J l M j k 2 M z E 1 L W F k N T c t N G I x M C 0 4 Z m I z L W Y 2 N 2 Q 3 Y T h l O W Z j M S I g L z 4 8 R W 5 0 c n k g V H l w Z T 0 i R m l s b F R h c m d l d C I g V m F s d W U 9 I n N z d W 1 j Y X B z U 3 R h Y m x l I i A v P j x F b n R y e S B U e X B l P S J G a W x s T G F z d F V w Z G F 0 Z W Q i I F Z h b H V l P S J k M j A x O S 0 w M i 0 w N V Q y M z o 0 M z o x N S 4 3 N z E y M T g 1 W i I g L z 4 8 R W 5 0 c n k g V H l w Z T 0 i R m l s b E V y c m 9 y Q 2 9 1 b n Q i I F Z h b H V l P S J s M C I g L z 4 8 R W 5 0 c n k g V H l w Z T 0 i R m l s b E N v b H V t b l R 5 c G V z I i B W Y W x 1 Z T 0 i c 0 J n V U Z C U V V G Q l F V R k J R V U d C Z 1 l H I i A v P j x F b n R y e S B U e X B l P S J G a W x s R X J y b 3 J D b 2 R l I i B W Y W x 1 Z T 0 i c 1 V u a 2 5 v d 2 4 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x O S 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1 N 0 Y W J s Z S 9 T b 3 V y Y 2 U u e 1 B v d 2 V y U 3 R h d G l v b i w w f S Z x d W 9 0 O y w m c X V v d D t T Z W N 0 a W 9 u M S 9 z d W 1 j Y X B z U 3 R h Y m x l L 1 N v d X J j Z S 5 7 M j A x O D E 5 L D F 9 J n F 1 b 3 Q 7 L C Z x d W 9 0 O 1 N l Y 3 R p b 2 4 x L 3 N 1 b W N h c H N T d G F i b G U v U 2 9 1 c m N l L n s y M D E 5 M j A s M n 0 m c X V v d D s s J n F 1 b 3 Q 7 U 2 V j d G l v b j E v c 3 V t Y 2 F w c 1 N 0 Y W J s Z S 9 T b 3 V y Y 2 U u e z I w M j A y M S w z f S Z x d W 9 0 O y w m c X V v d D t T Z W N 0 a W 9 u M S 9 z d W 1 j Y X B z U 3 R h Y m x l L 1 N v d X J j Z S 5 7 M j A y M T I y L D R 9 J n F 1 b 3 Q 7 L C Z x d W 9 0 O 1 N l Y 3 R p b 2 4 x L 3 N 1 b W N h c H N T d G F i b G U v U 2 9 1 c m N l L n s y M D I y M j M s N X 0 m c X V v d D s s J n F 1 b 3 Q 7 U 2 V j d G l v b j E v c 3 V t Y 2 F w c 1 N 0 Y W J s Z S 9 T b 3 V y Y 2 U u e z I w M j M y N C w 2 f S Z x d W 9 0 O y w m c X V v d D t T Z W N 0 a W 9 u M S 9 z d W 1 j Y X B z U 3 R h Y m x l L 1 N v d X J j Z S 5 7 M j A y N D I 1 L D d 9 J n F 1 b 3 Q 7 L C Z x d W 9 0 O 1 N l Y 3 R p b 2 4 x L 3 N 1 b W N h c H N T d G F i b G U v U 2 9 1 c m N l L n s y M D I 1 M j Y s O H 0 m c X V v d D s s J n F 1 b 3 Q 7 U 2 V j d G l v b j E v c 3 V t Y 2 F w c 1 N 0 Y W J s Z S 9 T b 3 V y Y 2 U u e z I w M j Y y N y w 5 f S Z x d W 9 0 O y w m c X V v d D t T Z W N 0 a W 9 u M S 9 z d W 1 j Y X B z U 3 R h Y m x l L 1 N v d X J j Z S 5 7 M j A y N z I 4 L D E w f S Z x d W 9 0 O y w m c X V v d D t T Z W N 0 a W 9 u M S 9 z d W 1 j Y X B z U 3 R h Y m x l L 1 N v d X J j Z S 5 7 R G l z c G F 0 Y 2 h U e X B l L D E x f S Z x d W 9 0 O y w m c X V v d D t T Z W N 0 a W 9 u M S 9 z d W 1 j Y X B z U 3 R h Y m x l L 1 N v d X J j Z S 5 7 R n V l b F R 5 c G U s M T J 9 J n F 1 b 3 Q 7 L C Z x d W 9 0 O 1 N l Y 3 R p b 2 4 x L 3 N 1 b W N h c H N T d G F i b G U v U 2 9 1 c m N l L n t S Z W d p b 2 4 s M T N 9 J n F 1 b 3 Q 7 L C Z x d W 9 0 O 1 N l Y 3 R p b 2 4 x L 3 N 1 b W N h c H N T d G F i b G U v U 2 9 1 c m N l L n t T Z W F z b 2 4 s M T R 9 J n F 1 b 3 Q 7 X S w m c X V v d D t D b 2 x 1 b W 5 D b 3 V u d C Z x d W 9 0 O z o x N S w m c X V v d D t L Z X l D b 2 x 1 b W 5 O Y W 1 l c y Z x d W 9 0 O z p b X S w m c X V v d D t D b 2 x 1 b W 5 J Z G V u d G l 0 a W V z J n F 1 b 3 Q 7 O l s m c X V v d D t T Z W N 0 a W 9 u M S 9 z d W 1 j Y X B z U 3 R h Y m x l L 1 N v d X J j Z S 5 7 U G 9 3 Z X J T d G F 0 a W 9 u L D B 9 J n F 1 b 3 Q 7 L C Z x d W 9 0 O 1 N l Y 3 R p b 2 4 x L 3 N 1 b W N h c H N T d G F i b G U v U 2 9 1 c m N l L n s y M D E 4 M T k s M X 0 m c X V v d D s s J n F 1 b 3 Q 7 U 2 V j d G l v b j E v c 3 V t Y 2 F w c 1 N 0 Y W J s Z S 9 T b 3 V y Y 2 U u e z I w M T k y M C w y f S Z x d W 9 0 O y w m c X V v d D t T Z W N 0 a W 9 u M S 9 z d W 1 j Y X B z U 3 R h Y m x l L 1 N v d X J j Z S 5 7 M j A y M D I x L D N 9 J n F 1 b 3 Q 7 L C Z x d W 9 0 O 1 N l Y 3 R p b 2 4 x L 3 N 1 b W N h c H N T d G F i b G U v U 2 9 1 c m N l L n s y M D I x M j I s N H 0 m c X V v d D s s J n F 1 b 3 Q 7 U 2 V j d G l v b j E v c 3 V t Y 2 F w c 1 N 0 Y W J s Z S 9 T b 3 V y Y 2 U u e z I w M j I y M y w 1 f S Z x d W 9 0 O y w m c X V v d D t T Z W N 0 a W 9 u M S 9 z d W 1 j Y X B z U 3 R h Y m x l L 1 N v d X J j Z S 5 7 M j A y M z I 0 L D Z 9 J n F 1 b 3 Q 7 L C Z x d W 9 0 O 1 N l Y 3 R p b 2 4 x L 3 N 1 b W N h c H N T d G F i b G U v U 2 9 1 c m N l L n s y M D I 0 M j U s N 3 0 m c X V v d D s s J n F 1 b 3 Q 7 U 2 V j d G l v b j E v c 3 V t Y 2 F w c 1 N 0 Y W J s Z S 9 T b 3 V y Y 2 U u e z I w M j U y N i w 4 f S Z x d W 9 0 O y w m c X V v d D t T Z W N 0 a W 9 u M S 9 z d W 1 j Y X B z U 3 R h Y m x l L 1 N v d X J j Z S 5 7 M j A y N j I 3 L D l 9 J n F 1 b 3 Q 7 L C Z x d W 9 0 O 1 N l Y 3 R p b 2 4 x L 3 N 1 b W N h c H N T d G F i b G U v U 2 9 1 c m N l L n s y M D I 3 M j g s M T B 9 J n F 1 b 3 Q 7 L C Z x d W 9 0 O 1 N l Y 3 R p b 2 4 x L 3 N 1 b W N h c H N T d G F i b G U v U 2 9 1 c m N l L n t E a X N w Y X R j a F R 5 c G U s M T F 9 J n F 1 b 3 Q 7 L C Z x d W 9 0 O 1 N l Y 3 R p b 2 4 x L 3 N 1 b W N h c H N T d G F i b G U v U 2 9 1 c m N l L n t G d W V s V H l w Z S w x M n 0 m c X V v d D s s J n F 1 b 3 Q 7 U 2 V j d G l v b j E v c 3 V t Y 2 F w c 1 N 0 Y W J s Z S 9 T b 3 V y Y 2 U u e 1 J l Z 2 l v b i w x M 3 0 m c X V v d D s s J n F 1 b 3 Q 7 U 2 V j d G l v b j E v c 3 V t Y 2 F w c 1 N 0 Y W J s Z S 9 T b 3 V y Y 2 U u e 1 N l Y X N v b i w x N H 0 m c X V v d D t d L C Z x d W 9 0 O 1 J l b G F 0 a W 9 u c 2 h p c E l u Z m 8 m c X V v d D s 6 W 1 1 9 I i A v P j w v U 3 R h Y m x l R W 5 0 c m l l c z 4 8 L 0 l 0 Z W 0 + P E l 0 Z W 0 + P E l 0 Z W 1 M b 2 N h d G l v b j 4 8 S X R l b V R 5 c G U + R m 9 y b X V s Y T w v S X R l b V R 5 c G U + P E l 0 Z W 1 Q Y X R o P l N l Y 3 R p b 2 4 x L 3 N 1 b W N h c H N T d G F i b G U v U 2 9 1 c m N l P C 9 J d G V t U G F 0 a D 4 8 L 0 l 0 Z W 1 M b 2 N h d G l v b j 4 8 U 3 R h Y m x l R W 5 0 c m l l c y A v P j w v S X R l b T 4 8 S X R l b T 4 8 S X R l b U x v Y 2 F 0 a W 9 u P j x J d G V t V H l w Z T 5 G b 3 J t d W x h P C 9 J d G V t V H l w Z T 4 8 S X R l b V B h d G g + U 2 V j d G l v b j E v c 3 V t Y 2 F w c 1 N T 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T d W 1 t Z X I g U 2 N o Z W R 1 b G V k I E N h c G F j a X R p Z X M i I C 8 + P E V u d H J 5 I F R 5 c G U 9 I l J l Y 2 9 2 Z X J 5 V G F y Z 2 V 0 Q 2 9 s d W 1 u I i B W Y W x 1 Z T 0 i b D E i I C 8 + P E V u d H J 5 I F R 5 c G U 9 I l J l Y 2 9 2 Z X J 5 V G F y Z 2 V 0 U m 9 3 I i B W Y W x 1 Z T 0 i b D c 4 I i A v P j x F b n R y e S B U e X B l P S J O Y W 1 l V X B k Y X R l Z E F m d G V y R m l s b C I g V m F s d W U 9 I m w w I i A v P j x F b n R y e S B U e X B l P S J G a W x s Z W R D b 2 1 w b G V 0 Z V J l c 3 V s d F R v V 2 9 y a 3 N o Z W V 0 I i B W Y W x 1 Z T 0 i b D E i I C 8 + P E V u d H J 5 I F R 5 c G U 9 I l F 1 Z X J 5 S U Q i I F Z h b H V l P S J z M D c w M T g 1 Y 2 M t Y m R l N y 0 0 N z Y 3 L T k y N G I t N G E 1 M D V l O T E y N G F k I i A v P j x F b n R y e S B U e X B l P S J G a W x s V G F y Z 2 V 0 I i B W Y W x 1 Z T 0 i c 3 N 1 b W N h c H N T U 3 R h Y m x l I i A v P j x F b n R y e S B U e X B l P S J G a W x s T G F z d F V w Z G F 0 Z W Q i I F Z h b H V l P S J k M j A x O S 0 w M i 0 w N V Q y M z o 0 M z o x N S 4 3 M j U 0 M T E 4 W i I g L z 4 8 R W 5 0 c n k g V H l w Z T 0 i R m l s b E V y c m 9 y Q 2 9 1 b n Q i I F Z h b H V l P S J s M C I g L z 4 8 R W 5 0 c n k g V H l w Z T 0 i R m l s b E N v b H V t b l R 5 c G V z I i B W Y W x 1 Z T 0 i c 0 J n V U Z C U V V G Q l F V R k J R V U d C Z 1 l H I i A v P j x F b n R y e S B U e X B l P S J G a W x s R X J y b 3 J D b 2 R l I i B W Y W x 1 Z T 0 i c 1 V u a 2 5 v d 2 4 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x O C 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1 N T d G F i b G U v U 2 9 1 c m N l L n t Q b 3 d l c l N 0 Y X R p b 2 4 s M H 0 m c X V v d D s s J n F 1 b 3 Q 7 U 2 V j d G l v b j E v c 3 V t Y 2 F w c 1 N T d G F i b G U v U 2 9 1 c m N l L n s y M D E 4 M T k s M X 0 m c X V v d D s s J n F 1 b 3 Q 7 U 2 V j d G l v b j E v c 3 V t Y 2 F w c 1 N T d G F i b G U v U 2 9 1 c m N l L n s y M D E 5 M j A s M n 0 m c X V v d D s s J n F 1 b 3 Q 7 U 2 V j d G l v b j E v c 3 V t Y 2 F w c 1 N T d G F i b G U v U 2 9 1 c m N l L n s y M D I w M j E s M 3 0 m c X V v d D s s J n F 1 b 3 Q 7 U 2 V j d G l v b j E v c 3 V t Y 2 F w c 1 N T d G F i b G U v U 2 9 1 c m N l L n s y M D I x M j I s N H 0 m c X V v d D s s J n F 1 b 3 Q 7 U 2 V j d G l v b j E v c 3 V t Y 2 F w c 1 N T d G F i b G U v U 2 9 1 c m N l L n s y M D I y M j M s N X 0 m c X V v d D s s J n F 1 b 3 Q 7 U 2 V j d G l v b j E v c 3 V t Y 2 F w c 1 N T d G F i b G U v U 2 9 1 c m N l L n s y M D I z M j Q s N n 0 m c X V v d D s s J n F 1 b 3 Q 7 U 2 V j d G l v b j E v c 3 V t Y 2 F w c 1 N T d G F i b G U v U 2 9 1 c m N l L n s y M D I 0 M j U s N 3 0 m c X V v d D s s J n F 1 b 3 Q 7 U 2 V j d G l v b j E v c 3 V t Y 2 F w c 1 N T d G F i b G U v U 2 9 1 c m N l L n s y M D I 1 M j Y s O H 0 m c X V v d D s s J n F 1 b 3 Q 7 U 2 V j d G l v b j E v c 3 V t Y 2 F w c 1 N T d G F i b G U v U 2 9 1 c m N l L n s y M D I 2 M j c s O X 0 m c X V v d D s s J n F 1 b 3 Q 7 U 2 V j d G l v b j E v c 3 V t Y 2 F w c 1 N T d G F i b G U v U 2 9 1 c m N l L n s y M D I 3 M j g s M T B 9 J n F 1 b 3 Q 7 L C Z x d W 9 0 O 1 N l Y 3 R p b 2 4 x L 3 N 1 b W N h c H N T U 3 R h Y m x l L 1 N v d X J j Z S 5 7 R G l z c G F 0 Y 2 h U e X B l L D E x f S Z x d W 9 0 O y w m c X V v d D t T Z W N 0 a W 9 u M S 9 z d W 1 j Y X B z U 1 N 0 Y W J s Z S 9 T b 3 V y Y 2 U u e 0 Z 1 Z W x U e X B l L D E y f S Z x d W 9 0 O y w m c X V v d D t T Z W N 0 a W 9 u M S 9 z d W 1 j Y X B z U 1 N 0 Y W J s Z S 9 T b 3 V y Y 2 U u e 1 J l Z 2 l v b i w x M 3 0 m c X V v d D s s J n F 1 b 3 Q 7 U 2 V j d G l v b j E v c 3 V t Y 2 F w c 1 N T d G F i b G U v U 2 9 1 c m N l L n t T Z W F z b 2 4 s M T R 9 J n F 1 b 3 Q 7 X S w m c X V v d D t D b 2 x 1 b W 5 D b 3 V u d C Z x d W 9 0 O z o x N S w m c X V v d D t L Z X l D b 2 x 1 b W 5 O Y W 1 l c y Z x d W 9 0 O z p b X S w m c X V v d D t D b 2 x 1 b W 5 J Z G V u d G l 0 a W V z J n F 1 b 3 Q 7 O l s m c X V v d D t T Z W N 0 a W 9 u M S 9 z d W 1 j Y X B z U 1 N 0 Y W J s Z S 9 T b 3 V y Y 2 U u e 1 B v d 2 V y U 3 R h d G l v b i w w f S Z x d W 9 0 O y w m c X V v d D t T Z W N 0 a W 9 u M S 9 z d W 1 j Y X B z U 1 N 0 Y W J s Z S 9 T b 3 V y Y 2 U u e z I w M T g x O S w x f S Z x d W 9 0 O y w m c X V v d D t T Z W N 0 a W 9 u M S 9 z d W 1 j Y X B z U 1 N 0 Y W J s Z S 9 T b 3 V y Y 2 U u e z I w M T k y M C w y f S Z x d W 9 0 O y w m c X V v d D t T Z W N 0 a W 9 u M S 9 z d W 1 j Y X B z U 1 N 0 Y W J s Z S 9 T b 3 V y Y 2 U u e z I w M j A y M S w z f S Z x d W 9 0 O y w m c X V v d D t T Z W N 0 a W 9 u M S 9 z d W 1 j Y X B z U 1 N 0 Y W J s Z S 9 T b 3 V y Y 2 U u e z I w M j E y M i w 0 f S Z x d W 9 0 O y w m c X V v d D t T Z W N 0 a W 9 u M S 9 z d W 1 j Y X B z U 1 N 0 Y W J s Z S 9 T b 3 V y Y 2 U u e z I w M j I y M y w 1 f S Z x d W 9 0 O y w m c X V v d D t T Z W N 0 a W 9 u M S 9 z d W 1 j Y X B z U 1 N 0 Y W J s Z S 9 T b 3 V y Y 2 U u e z I w M j M y N C w 2 f S Z x d W 9 0 O y w m c X V v d D t T Z W N 0 a W 9 u M S 9 z d W 1 j Y X B z U 1 N 0 Y W J s Z S 9 T b 3 V y Y 2 U u e z I w M j Q y N S w 3 f S Z x d W 9 0 O y w m c X V v d D t T Z W N 0 a W 9 u M S 9 z d W 1 j Y X B z U 1 N 0 Y W J s Z S 9 T b 3 V y Y 2 U u e z I w M j U y N i w 4 f S Z x d W 9 0 O y w m c X V v d D t T Z W N 0 a W 9 u M S 9 z d W 1 j Y X B z U 1 N 0 Y W J s Z S 9 T b 3 V y Y 2 U u e z I w M j Y y N y w 5 f S Z x d W 9 0 O y w m c X V v d D t T Z W N 0 a W 9 u M S 9 z d W 1 j Y X B z U 1 N 0 Y W J s Z S 9 T b 3 V y Y 2 U u e z I w M j c y O C w x M H 0 m c X V v d D s s J n F 1 b 3 Q 7 U 2 V j d G l v b j E v c 3 V t Y 2 F w c 1 N T d G F i b G U v U 2 9 1 c m N l L n t E a X N w Y X R j a F R 5 c G U s M T F 9 J n F 1 b 3 Q 7 L C Z x d W 9 0 O 1 N l Y 3 R p b 2 4 x L 3 N 1 b W N h c H N T U 3 R h Y m x l L 1 N v d X J j Z S 5 7 R n V l b F R 5 c G U s M T J 9 J n F 1 b 3 Q 7 L C Z x d W 9 0 O 1 N l Y 3 R p b 2 4 x L 3 N 1 b W N h c H N T U 3 R h Y m x l L 1 N v d X J j Z S 5 7 U m V n a W 9 u L D E z f S Z x d W 9 0 O y w m c X V v d D t T Z W N 0 a W 9 u M S 9 z d W 1 j Y X B z U 1 N 0 Y W J s Z S 9 T b 3 V y Y 2 U u e 1 N l Y X N v b i w x N H 0 m c X V v d D t d L C Z x d W 9 0 O 1 J l b G F 0 a W 9 u c 2 h p c E l u Z m 8 m c X V v d D s 6 W 1 1 9 I i A v P j w v U 3 R h Y m x l R W 5 0 c m l l c z 4 8 L 0 l 0 Z W 0 + P E l 0 Z W 0 + P E l 0 Z W 1 M b 2 N h d G l v b j 4 8 S X R l b V R 5 c G U + R m 9 y b X V s Y T w v S X R l b V R 5 c G U + P E l 0 Z W 1 Q Y X R o P l N l Y 3 R p b 2 4 x L 3 N 1 b W N h c H N T U 3 R h Y m x l L 1 N v d X J j Z T w v S X R l b V B h d G g + P C 9 J d G V t T G 9 j Y X R p b 2 4 + P F N 0 Y W J s Z U V u d H J p Z X M g L z 4 8 L 0 l 0 Z W 0 + P E l 0 Z W 0 + P E l 0 Z W 1 M b 2 N h d G l v b j 4 8 S X R l b V R 5 c G U + R m 9 y b X V s Y T w v S X R l b V R 5 c G U + P E l 0 Z W 1 Q Y X R o P l N l Y 3 R p b 2 4 x L 3 d p b m N h c H N h b G x 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d p b m N h c H N h b G x 0 Y W J s Z S I g L z 4 8 R W 5 0 c n k g V H l w Z T 0 i U m V j b 3 Z l c n l U Y X J n Z X R T a G V l d C I g V m F s d W U 9 I n N X a W 5 0 Z X I g U 2 N o Z W R 1 b G V k I E N h c G F j a X R p Z X M 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M 5 O D F j Z T l m N y 1 l O D B h L T Q x O T k t Y T l h N i 0 1 N G R m N G Y 1 Y T h i M G M i I C 8 + P E V u d H J 5 I F R 5 c G U 9 I k Z p b G x M Y X N 0 V X B k Y X R l Z C I g V m F s d W U 9 I m Q y M D E 5 L T A y L T A 1 V D I z O j Q z O j E 2 L j A z N z k 5 O D h 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z N 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Q 2 9 s d W 1 u Q 2 9 1 b n Q m c X V v d D s 6 M T U s J n F 1 b 3 Q 7 S 2 V 5 Q 2 9 s d W 1 u T m F t Z X M m c X V v d D s 6 W 1 0 s J n F 1 b 3 Q 7 Q 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U m V s Y X R p b 2 5 z a G l w S W 5 m b y Z x d W 9 0 O z p b X X 0 i I C 8 + P C 9 T d G F i b G V F b n R y a W V z P j w v S X R l b T 4 8 S X R l b T 4 8 S X R l b U x v Y 2 F 0 a W 9 u P j x J d G V t V H l w Z T 5 G b 3 J t d W x h P C 9 J d G V t V H l w Z T 4 8 S X R l b V B h d G g + U 2 V j d G l v b j E v d 2 l u Y 2 F w c 2 F s b H R h Y m x l L 1 N v d X J j Z T w v S X R l b V B h d G g + P C 9 J d G V t T G 9 j Y X R p b 2 4 + P F N 0 Y W J s Z U V u d H J p Z X M g L z 4 8 L 0 l 0 Z W 0 + P E l 0 Z W 0 + P E l 0 Z W 1 M b 2 N h d G l v b j 4 8 S X R l b V R 5 c G U + R m 9 y b X V s Y T w v S X R l b V R 5 c G U + P E l 0 Z W 1 Q Y X R o P l N l Y 3 R p b 2 4 x L 3 d p b m N h c H N T 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R m l s b F R h c m d l d C I g V m F s d W U 9 I n N 3 a W 5 j Y X B z U 3 R h Y m x l I i A v P j x F b n R y e S B U e X B l P S J S Z W N v d m V y e V R h c m d l d F N o Z W V 0 I i B W Y W x 1 Z T 0 i c 1 d p b n R l c i B T Y 2 h l Z H V s Z W Q g Q 2 F w Y W N p d G l l c y I g L z 4 8 R W 5 0 c n k g V H l w Z T 0 i U m V j b 3 Z l c n l U Y X J n Z X R D b 2 x 1 b W 4 i I F Z h b H V l P S J s M S I g L z 4 8 R W 5 0 c n k g V H l w Z T 0 i U m V j b 3 Z l c n l U Y X J n Z X R S b 3 c i I F Z h b H V l P S J s N T E i I C 8 + P E V u d H J 5 I F R 5 c G U 9 I k 5 h b W V V c G R h d G V k Q W Z 0 Z X J G a W x s I i B W Y W x 1 Z T 0 i b D A i I C 8 + P E V u d H J 5 I F R 5 c G U 9 I k Z p b G x l Z E N v b X B s Z X R l U m V z d W x 0 V G 9 X b 3 J r c 2 h l Z X Q i I F Z h b H V l P S J s M S I g L z 4 8 R W 5 0 c n k g V H l w Z T 0 i U X V l c n l J R C I g V m F s d W U 9 I n M 5 N T c x O G E 1 Y y 0 0 M z U 2 L T Q 0 Y 2 E t O D B m M y 1 k O G Y 4 Y W F i Y j Q 5 N 2 M i I C 8 + P E V u d H J 5 I F R 5 c G U 9 I k Z p b G x M Y X N 0 V X B k Y X R l Z C I g V m F s d W U 9 I m Q y M D E 5 L T A y L T A 1 V D I z O j Q z O j E 1 L j k 4 O D Q 5 N T N 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x O S 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1 N 0 Y W J s Z S 9 T b 3 V y Y 2 U u e 1 B v d 2 V y U 3 R h d G l v b i w w f S Z x d W 9 0 O y w m c X V v d D t T Z W N 0 a W 9 u M S 9 3 a W 5 j Y X B z U 3 R h Y m x l L 1 N v d X J j Z S 5 7 M j A x O S w x f S Z x d W 9 0 O y w m c X V v d D t T Z W N 0 a W 9 u M S 9 3 a W 5 j Y X B z U 3 R h Y m x l L 1 N v d X J j Z S 5 7 M j A y M C w y f S Z x d W 9 0 O y w m c X V v d D t T Z W N 0 a W 9 u M S 9 3 a W 5 j Y X B z U 3 R h Y m x l L 1 N v d X J j Z S 5 7 M j A y M S w z f S Z x d W 9 0 O y w m c X V v d D t T Z W N 0 a W 9 u M S 9 3 a W 5 j Y X B z U 3 R h Y m x l L 1 N v d X J j Z S 5 7 M j A y M i w 0 f S Z x d W 9 0 O y w m c X V v d D t T Z W N 0 a W 9 u M S 9 3 a W 5 j Y X B z U 3 R h Y m x l L 1 N v d X J j Z S 5 7 M j A y M y w 1 f S Z x d W 9 0 O y w m c X V v d D t T Z W N 0 a W 9 u M S 9 3 a W 5 j Y X B z U 3 R h Y m x l L 1 N v d X J j Z S 5 7 M j A y N C w 2 f S Z x d W 9 0 O y w m c X V v d D t T Z W N 0 a W 9 u M S 9 3 a W 5 j Y X B z U 3 R h Y m x l L 1 N v d X J j Z S 5 7 M j A y N S w 3 f S Z x d W 9 0 O y w m c X V v d D t T Z W N 0 a W 9 u M S 9 3 a W 5 j Y X B z U 3 R h Y m x l L 1 N v d X J j Z S 5 7 M j A y N i w 4 f S Z x d W 9 0 O y w m c X V v d D t T Z W N 0 a W 9 u M S 9 3 a W 5 j Y X B z U 3 R h Y m x l L 1 N v d X J j Z S 5 7 M j A y N y w 5 f S Z x d W 9 0 O y w m c X V v d D t T Z W N 0 a W 9 u M S 9 3 a W 5 j Y X B z U 3 R h Y m x l L 1 N v d X J j Z S 5 7 M j A y O C w x M H 0 m c X V v d D s s J n F 1 b 3 Q 7 U 2 V j d G l v b j E v d 2 l u Y 2 F w c 1 N 0 Y W J s Z S 9 T b 3 V y Y 2 U u e 0 R p c 3 B h d G N o V H l w Z S w x M X 0 m c X V v d D s s J n F 1 b 3 Q 7 U 2 V j d G l v b j E v d 2 l u Y 2 F w c 1 N 0 Y W J s Z S 9 T b 3 V y Y 2 U u e 0 Z 1 Z W x U e X B l L D E y f S Z x d W 9 0 O y w m c X V v d D t T Z W N 0 a W 9 u M S 9 3 a W 5 j Y X B z U 3 R h Y m x l L 1 N v d X J j Z S 5 7 U m V n a W 9 u L D E z f S Z x d W 9 0 O y w m c X V v d D t T Z W N 0 a W 9 u M S 9 3 a W 5 j Y X B z U 3 R h Y m x l L 1 N v d X J j Z S 5 7 U 2 V h c 2 9 u L D E 0 f S Z x d W 9 0 O 1 0 s J n F 1 b 3 Q 7 Q 2 9 s d W 1 u Q 2 9 1 b n Q m c X V v d D s 6 M T U s J n F 1 b 3 Q 7 S 2 V 5 Q 2 9 s d W 1 u T m F t Z X M m c X V v d D s 6 W 1 0 s J n F 1 b 3 Q 7 Q 2 9 s d W 1 u S W R l b n R p d G l l c y Z x d W 9 0 O z p b J n F 1 b 3 Q 7 U 2 V j d G l v b j E v d 2 l u Y 2 F w c 1 N 0 Y W J s Z S 9 T b 3 V y Y 2 U u e 1 B v d 2 V y U 3 R h d G l v b i w w f S Z x d W 9 0 O y w m c X V v d D t T Z W N 0 a W 9 u M S 9 3 a W 5 j Y X B z U 3 R h Y m x l L 1 N v d X J j Z S 5 7 M j A x O S w x f S Z x d W 9 0 O y w m c X V v d D t T Z W N 0 a W 9 u M S 9 3 a W 5 j Y X B z U 3 R h Y m x l L 1 N v d X J j Z S 5 7 M j A y M C w y f S Z x d W 9 0 O y w m c X V v d D t T Z W N 0 a W 9 u M S 9 3 a W 5 j Y X B z U 3 R h Y m x l L 1 N v d X J j Z S 5 7 M j A y M S w z f S Z x d W 9 0 O y w m c X V v d D t T Z W N 0 a W 9 u M S 9 3 a W 5 j Y X B z U 3 R h Y m x l L 1 N v d X J j Z S 5 7 M j A y M i w 0 f S Z x d W 9 0 O y w m c X V v d D t T Z W N 0 a W 9 u M S 9 3 a W 5 j Y X B z U 3 R h Y m x l L 1 N v d X J j Z S 5 7 M j A y M y w 1 f S Z x d W 9 0 O y w m c X V v d D t T Z W N 0 a W 9 u M S 9 3 a W 5 j Y X B z U 3 R h Y m x l L 1 N v d X J j Z S 5 7 M j A y N C w 2 f S Z x d W 9 0 O y w m c X V v d D t T Z W N 0 a W 9 u M S 9 3 a W 5 j Y X B z U 3 R h Y m x l L 1 N v d X J j Z S 5 7 M j A y N S w 3 f S Z x d W 9 0 O y w m c X V v d D t T Z W N 0 a W 9 u M S 9 3 a W 5 j Y X B z U 3 R h Y m x l L 1 N v d X J j Z S 5 7 M j A y N i w 4 f S Z x d W 9 0 O y w m c X V v d D t T Z W N 0 a W 9 u M S 9 3 a W 5 j Y X B z U 3 R h Y m x l L 1 N v d X J j Z S 5 7 M j A y N y w 5 f S Z x d W 9 0 O y w m c X V v d D t T Z W N 0 a W 9 u M S 9 3 a W 5 j Y X B z U 3 R h Y m x l L 1 N v d X J j Z S 5 7 M j A y O C w x M H 0 m c X V v d D s s J n F 1 b 3 Q 7 U 2 V j d G l v b j E v d 2 l u Y 2 F w c 1 N 0 Y W J s Z S 9 T b 3 V y Y 2 U u e 0 R p c 3 B h d G N o V H l w Z S w x M X 0 m c X V v d D s s J n F 1 b 3 Q 7 U 2 V j d G l v b j E v d 2 l u Y 2 F w c 1 N 0 Y W J s Z S 9 T b 3 V y Y 2 U u e 0 Z 1 Z W x U e X B l L D E y f S Z x d W 9 0 O y w m c X V v d D t T Z W N 0 a W 9 u M S 9 3 a W 5 j Y X B z U 3 R h Y m x l L 1 N v d X J j Z S 5 7 U m V n a W 9 u L D E z f S Z x d W 9 0 O y w m c X V v d D t T Z W N 0 a W 9 u M S 9 3 a W 5 j Y X B z U 3 R h Y m x l L 1 N v d X J j Z S 5 7 U 2 V h c 2 9 u L D E 0 f S Z x d W 9 0 O 1 0 s J n F 1 b 3 Q 7 U m V s Y X R p b 2 5 z a G l w S W 5 m b y Z x d W 9 0 O z p b X X 0 i I C 8 + P C 9 T d G F i b G V F b n R y a W V z P j w v S X R l b T 4 8 S X R l b T 4 8 S X R l b U x v Y 2 F 0 a W 9 u P j x J d G V t V H l w Z T 5 G b 3 J t d W x h P C 9 J d G V t V H l w Z T 4 8 S X R l b V B h d G g + U 2 V j d G l v b j E v d 2 l u Y 2 F w c 1 N 0 Y W J s Z S 9 T b 3 V y Y 2 U 8 L 0 l 0 Z W 1 Q Y X R o P j w v S X R l b U x v Y 2 F 0 a W 9 u P j x T d G F i b G V F b n R y a W V z I C 8 + P C 9 J d G V t P j x J d G V t P j x J d G V t T G 9 j Y X R p b 2 4 + P E l 0 Z W 1 U e X B l P k Z v c m 1 1 b G E 8 L 0 l 0 Z W 1 U e X B l P j x J d G V t U G F 0 a D 5 T Z W N 0 a W 9 u M S 9 3 a W 5 j Y X B z U 1 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d p b m N h c H N T U 3 R h Y m x l I i A v P j x F b n R y e S B U e X B l P S J S Z W N v d m V y e V R h c m d l d F N o Z W V 0 I i B W Y W x 1 Z T 0 i c 1 d p b n R l c i B T Y 2 h l Z H V s Z W Q g Q 2 F w Y W N p d G l l c y I g L z 4 8 R W 5 0 c n k g V H l w Z T 0 i U m V j b 3 Z l c n l U Y X J n Z X R D b 2 x 1 b W 4 i I F Z h b H V l P S J s M S I g L z 4 8 R W 5 0 c n k g V H l w Z T 0 i U m V j b 3 Z l c n l U Y X J n Z X R S b 3 c i I F Z h b H V l P S J s N z Y i I C 8 + P E V u d H J 5 I F R 5 c G U 9 I k 5 h b W V V c G R h d G V k Q W Z 0 Z X J G a W x s I i B W Y W x 1 Z T 0 i b D A i I C 8 + P E V u d H J 5 I F R 5 c G U 9 I k Z p b G x l Z E N v b X B s Z X R l U m V z d W x 0 V G 9 X b 3 J r c 2 h l Z X Q i I F Z h b H V l P S J s M S I g L z 4 8 R W 5 0 c n k g V H l w Z T 0 i U X V l c n l J R C I g V m F s d W U 9 I n M 1 N T I y M D d j Z C 0 5 Y j F h L T Q 4 N j Y t Y W U z M y 0 y N j I 4 Z j V l N j Z m Z m I i I C 8 + P E V u d H J 5 I F R 5 c G U 9 I k Z p b G x M Y X N 0 V X B k Y X R l Z C I g V m F s d W U 9 I m Q y M D E 5 L T A y L T A 1 V D I z O j Q z O j E 1 L j g 5 N j g 1 M D l 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x O C 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1 N T d G F i b G U v U 2 9 1 c m N l L n t Q b 3 d l c l N 0 Y X R p b 2 4 s M H 0 m c X V v d D s s J n F 1 b 3 Q 7 U 2 V j d G l v b j E v d 2 l u Y 2 F w c 1 N T d G F i b G U v U 2 9 1 c m N l L n s y M D E 5 L D F 9 J n F 1 b 3 Q 7 L C Z x d W 9 0 O 1 N l Y 3 R p b 2 4 x L 3 d p b m N h c H N T U 3 R h Y m x l L 1 N v d X J j Z S 5 7 M j A y M C w y f S Z x d W 9 0 O y w m c X V v d D t T Z W N 0 a W 9 u M S 9 3 a W 5 j Y X B z U 1 N 0 Y W J s Z S 9 T b 3 V y Y 2 U u e z I w M j E s M 3 0 m c X V v d D s s J n F 1 b 3 Q 7 U 2 V j d G l v b j E v d 2 l u Y 2 F w c 1 N T d G F i b G U v U 2 9 1 c m N l L n s y M D I y L D R 9 J n F 1 b 3 Q 7 L C Z x d W 9 0 O 1 N l Y 3 R p b 2 4 x L 3 d p b m N h c H N T U 3 R h Y m x l L 1 N v d X J j Z S 5 7 M j A y M y w 1 f S Z x d W 9 0 O y w m c X V v d D t T Z W N 0 a W 9 u M S 9 3 a W 5 j Y X B z U 1 N 0 Y W J s Z S 9 T b 3 V y Y 2 U u e z I w M j Q s N n 0 m c X V v d D s s J n F 1 b 3 Q 7 U 2 V j d G l v b j E v d 2 l u Y 2 F w c 1 N T d G F i b G U v U 2 9 1 c m N l L n s y M D I 1 L D d 9 J n F 1 b 3 Q 7 L C Z x d W 9 0 O 1 N l Y 3 R p b 2 4 x L 3 d p b m N h c H N T U 3 R h Y m x l L 1 N v d X J j Z S 5 7 M j A y N i w 4 f S Z x d W 9 0 O y w m c X V v d D t T Z W N 0 a W 9 u M S 9 3 a W 5 j Y X B z U 1 N 0 Y W J s Z S 9 T b 3 V y Y 2 U u e z I w M j c s O X 0 m c X V v d D s s J n F 1 b 3 Q 7 U 2 V j d G l v b j E v d 2 l u Y 2 F w c 1 N T d G F i b G U v U 2 9 1 c m N l L n s y M D I 4 L D E w f S Z x d W 9 0 O y w m c X V v d D t T Z W N 0 a W 9 u M S 9 3 a W 5 j Y X B z U 1 N 0 Y W J s Z S 9 T b 3 V y Y 2 U u e 0 R p c 3 B h d G N o V H l w Z S w x M X 0 m c X V v d D s s J n F 1 b 3 Q 7 U 2 V j d G l v b j E v d 2 l u Y 2 F w c 1 N T d G F i b G U v U 2 9 1 c m N l L n t G d W V s V H l w Z S w x M n 0 m c X V v d D s s J n F 1 b 3 Q 7 U 2 V j d G l v b j E v d 2 l u Y 2 F w c 1 N T d G F i b G U v U 2 9 1 c m N l L n t S Z W d p b 2 4 s M T N 9 J n F 1 b 3 Q 7 L C Z x d W 9 0 O 1 N l Y 3 R p b 2 4 x L 3 d p b m N h c H N T U 3 R h Y m x l L 1 N v d X J j Z S 5 7 U 2 V h c 2 9 u L D E 0 f S Z x d W 9 0 O 1 0 s J n F 1 b 3 Q 7 Q 2 9 s d W 1 u Q 2 9 1 b n Q m c X V v d D s 6 M T U s J n F 1 b 3 Q 7 S 2 V 5 Q 2 9 s d W 1 u T m F t Z X M m c X V v d D s 6 W 1 0 s J n F 1 b 3 Q 7 Q 2 9 s d W 1 u S W R l b n R p d G l l c y Z x d W 9 0 O z p b J n F 1 b 3 Q 7 U 2 V j d G l v b j E v d 2 l u Y 2 F w c 1 N T d G F i b G U v U 2 9 1 c m N l L n t Q b 3 d l c l N 0 Y X R p b 2 4 s M H 0 m c X V v d D s s J n F 1 b 3 Q 7 U 2 V j d G l v b j E v d 2 l u Y 2 F w c 1 N T d G F i b G U v U 2 9 1 c m N l L n s y M D E 5 L D F 9 J n F 1 b 3 Q 7 L C Z x d W 9 0 O 1 N l Y 3 R p b 2 4 x L 3 d p b m N h c H N T U 3 R h Y m x l L 1 N v d X J j Z S 5 7 M j A y M C w y f S Z x d W 9 0 O y w m c X V v d D t T Z W N 0 a W 9 u M S 9 3 a W 5 j Y X B z U 1 N 0 Y W J s Z S 9 T b 3 V y Y 2 U u e z I w M j E s M 3 0 m c X V v d D s s J n F 1 b 3 Q 7 U 2 V j d G l v b j E v d 2 l u Y 2 F w c 1 N T d G F i b G U v U 2 9 1 c m N l L n s y M D I y L D R 9 J n F 1 b 3 Q 7 L C Z x d W 9 0 O 1 N l Y 3 R p b 2 4 x L 3 d p b m N h c H N T U 3 R h Y m x l L 1 N v d X J j Z S 5 7 M j A y M y w 1 f S Z x d W 9 0 O y w m c X V v d D t T Z W N 0 a W 9 u M S 9 3 a W 5 j Y X B z U 1 N 0 Y W J s Z S 9 T b 3 V y Y 2 U u e z I w M j Q s N n 0 m c X V v d D s s J n F 1 b 3 Q 7 U 2 V j d G l v b j E v d 2 l u Y 2 F w c 1 N T d G F i b G U v U 2 9 1 c m N l L n s y M D I 1 L D d 9 J n F 1 b 3 Q 7 L C Z x d W 9 0 O 1 N l Y 3 R p b 2 4 x L 3 d p b m N h c H N T U 3 R h Y m x l L 1 N v d X J j Z S 5 7 M j A y N i w 4 f S Z x d W 9 0 O y w m c X V v d D t T Z W N 0 a W 9 u M S 9 3 a W 5 j Y X B z U 1 N 0 Y W J s Z S 9 T b 3 V y Y 2 U u e z I w M j c s O X 0 m c X V v d D s s J n F 1 b 3 Q 7 U 2 V j d G l v b j E v d 2 l u Y 2 F w c 1 N T d G F i b G U v U 2 9 1 c m N l L n s y M D I 4 L D E w f S Z x d W 9 0 O y w m c X V v d D t T Z W N 0 a W 9 u M S 9 3 a W 5 j Y X B z U 1 N 0 Y W J s Z S 9 T b 3 V y Y 2 U u e 0 R p c 3 B h d G N o V H l w Z S w x M X 0 m c X V v d D s s J n F 1 b 3 Q 7 U 2 V j d G l v b j E v d 2 l u Y 2 F w c 1 N T d G F i b G U v U 2 9 1 c m N l L n t G d W V s V H l w Z S w x M n 0 m c X V v d D s s J n F 1 b 3 Q 7 U 2 V j d G l v b j E v d 2 l u Y 2 F w c 1 N T d G F i b G U v U 2 9 1 c m N l L n t S Z W d p b 2 4 s M T N 9 J n F 1 b 3 Q 7 L C Z x d W 9 0 O 1 N l Y 3 R p b 2 4 x L 3 d p b m N h c H N T U 3 R h Y m x l L 1 N v d X J j Z S 5 7 U 2 V h c 2 9 u L D E 0 f S Z x d W 9 0 O 1 0 s J n F 1 b 3 Q 7 U m V s Y X R p b 2 5 z a G l w S W 5 m b y Z x d W 9 0 O z p b X X 0 i I C 8 + P C 9 T d G F i b G V F b n R y a W V z P j w v S X R l b T 4 8 S X R l b T 4 8 S X R l b U x v Y 2 F 0 a W 9 u P j x J d G V t V H l w Z T 5 G b 3 J t d W x h P C 9 J d G V t V H l w Z T 4 8 S X R l b V B h d G g + U 2 V j d G l v b j E v d 2 l u Y 2 F w c 1 N T d G F i b G U v U 2 9 1 c m N l P C 9 J d G V t U G F 0 a D 4 8 L 0 l 0 Z W 1 M b 2 N h d G l v b j 4 8 U 3 R h Y m x l R W 5 0 c m l l c y A v P j w v S X R l b T 4 8 L 0 l 0 Z W 1 z P j w v T G 9 j Y W x Q Y W N r Y W d l T W V 0 Y W R h d G F G a W x l P h Y A A A B Q S w U G A A A A A A A A A A A A A A A A A A A A A A A A 2 g A A A A E A A A D Q j J 3 f A R X R E Y x 6 A M B P w p f r A Q A A A G T i e R C 4 N I R O n s 7 Y D m 5 N k / c A A A A A A g A A A A A A A 2 Y A A M A A A A A Q A A A A s h 4 h 3 P O H u N D t T U a 4 j U 1 l 7 A A A A A A E g A A A o A A A A B A A A A A p B x A S D T Q r W F a j H 3 E Q b i 3 x U A A A A H h P V u Z 9 i Q w s W 2 E t 8 u N b N O P c R i q E T / T / h t a V U E n G D F d 3 T U 8 x e A t u n 5 F M r H V i / F 6 C r F e d O 1 s x X m K b q r J j v k Q l Q u l L r p n h M N n T l v / m O M 4 P p D A C F A A A A M H t r 9 A j a 2 9 G P H 8 u A 7 P k 6 c 7 t b z R 1 < / D a t a M a s h u p > 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C22F2A-736E-4450-9C2E-4215F93DC058}">
  <ds:schemaRefs>
    <ds:schemaRef ds:uri="http://purl.org/dc/elements/1.1/"/>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FDC85E0-3171-42AD-BC58-110682D8F67C}">
  <ds:schemaRefs>
    <ds:schemaRef ds:uri="http://schemas.microsoft.com/DataMashup"/>
  </ds:schemaRefs>
</ds:datastoreItem>
</file>

<file path=customXml/itemProps3.xml><?xml version="1.0" encoding="utf-8"?>
<ds:datastoreItem xmlns:ds="http://schemas.openxmlformats.org/officeDocument/2006/customXml" ds:itemID="{9E2B72FF-7F69-4D2B-B831-E69FF12C7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DC19B98-0732-4658-ADA4-8E1A19F0FDC6}">
  <ds:schemaRefs>
    <ds:schemaRef ds:uri="http://schemas.microsoft.com/sharepoint/events"/>
  </ds:schemaRefs>
</ds:datastoreItem>
</file>

<file path=customXml/itemProps5.xml><?xml version="1.0" encoding="utf-8"?>
<ds:datastoreItem xmlns:ds="http://schemas.openxmlformats.org/officeDocument/2006/customXml" ds:itemID="{F4878AE5-7DB8-49BF-8A56-27450EDFAD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South Australia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Dongxiao Wang</cp:lastModifiedBy>
  <dcterms:created xsi:type="dcterms:W3CDTF">2014-03-07T16:08:25Z</dcterms:created>
  <dcterms:modified xsi:type="dcterms:W3CDTF">2019-05-27T04:14:32Z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c7684bd6-5060-4bee-9c4a-c0d7b541f4b5</vt:lpwstr>
  </property>
  <property fmtid="{D5CDD505-2E9C-101B-9397-08002B2CF9AE}" pid="6" name="AEMODocumentType">
    <vt:lpwstr>3;#Operational Record|859762f2-4462-42eb-9744-c955c7e2c540</vt:lpwstr>
  </property>
</Properties>
</file>